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26" documentId="8_{9C74E1A7-82BD-4587-905A-0C294918337E}" xr6:coauthVersionLast="47" xr6:coauthVersionMax="47" xr10:uidLastSave="{55F5624F-2756-4383-BCB6-0B6971168D53}"/>
  <workbookProtection workbookAlgorithmName="SHA-512" workbookHashValue="5SKzrjiWaXEMw7yhBcqGp5D9KfY22Ccs5T88fTxTyZhZp+dGNDZ2Tvgg/Tpk5b6eRJ2YIXcRBvPSbCOU9ebPjg==" workbookSaltValue="+TMX9Ne3wahHjUB8wuhMJQ==" workbookSpinCount="100000" lockStructure="1"/>
  <bookViews>
    <workbookView xWindow="-120" yWindow="-16320" windowWidth="29040" windowHeight="15720" xr2:uid="{36456768-94C4-4F78-9FED-97ABE6D4F41B}"/>
  </bookViews>
  <sheets>
    <sheet name="VERIFICATION" sheetId="1" r:id="rId1"/>
    <sheet name="VALIDATIONS DE DONNEES" sheetId="2" state="hidden" r:id="rId2"/>
    <sheet name="Ben_F" sheetId="3" state="hidden" r:id="rId3"/>
    <sheet name="Ben_G" sheetId="4" state="hidden" r:id="rId4"/>
    <sheet name="Sources" sheetId="5" state="hidden" r:id="rId5"/>
  </sheets>
  <definedNames>
    <definedName name="_xlnm.Print_Area" localSheetId="0">VERIFICATION!$A$1:$W$48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1" l="1"/>
  <c r="U37" i="1"/>
  <c r="U39" i="1"/>
  <c r="V23" i="1" l="1"/>
  <c r="X23" i="1" s="1"/>
  <c r="U23" i="1"/>
  <c r="O24" i="1" a="1"/>
  <c r="O24" i="1" s="1"/>
  <c r="H44" i="1" l="1"/>
  <c r="F44" i="1"/>
  <c r="P5" i="1"/>
  <c r="D21" i="1" s="1"/>
  <c r="E25" i="1"/>
  <c r="E27" i="1"/>
  <c r="E29" i="1"/>
  <c r="E31" i="1"/>
  <c r="E33" i="1"/>
  <c r="E35" i="1"/>
  <c r="E37" i="1"/>
  <c r="V37" i="1" s="1"/>
  <c r="X37" i="1" s="1"/>
  <c r="E39" i="1"/>
  <c r="V39" i="1" s="1"/>
  <c r="X39" i="1" s="1"/>
  <c r="H24" i="1" a="1"/>
  <c r="H24" i="1" s="1"/>
  <c r="H52" i="1" s="1"/>
  <c r="H26" i="1" a="1"/>
  <c r="H26" i="1" s="1"/>
  <c r="H53" i="1" s="1"/>
  <c r="H28" i="1" a="1"/>
  <c r="H28" i="1" s="1"/>
  <c r="H54" i="1" s="1"/>
  <c r="H30" i="1" a="1"/>
  <c r="H30" i="1" s="1"/>
  <c r="H55" i="1" s="1"/>
  <c r="H32" i="1" a="1"/>
  <c r="H32" i="1" s="1"/>
  <c r="H56" i="1" s="1"/>
  <c r="H34" i="1" a="1"/>
  <c r="H34" i="1" s="1"/>
  <c r="H57" i="1" s="1"/>
  <c r="H36" i="1" a="1"/>
  <c r="H36" i="1" s="1"/>
  <c r="H58" i="1" s="1"/>
  <c r="H38" i="1" a="1"/>
  <c r="H38" i="1" s="1"/>
  <c r="H59" i="1" s="1"/>
  <c r="H40" i="1" a="1"/>
  <c r="H40" i="1" s="1"/>
  <c r="H60" i="1" s="1"/>
  <c r="F43" i="1"/>
  <c r="V35" i="1" l="1"/>
  <c r="X35" i="1" s="1"/>
  <c r="U35" i="1"/>
  <c r="V33" i="1"/>
  <c r="X33" i="1" s="1"/>
  <c r="U33" i="1"/>
  <c r="V31" i="1"/>
  <c r="X31" i="1" s="1"/>
  <c r="U31" i="1"/>
  <c r="V29" i="1"/>
  <c r="X29" i="1" s="1"/>
  <c r="U29" i="1"/>
  <c r="V27" i="1"/>
  <c r="X27" i="1" s="1"/>
  <c r="U27" i="1"/>
  <c r="U25" i="1"/>
  <c r="V25" i="1"/>
  <c r="X25" i="1" s="1"/>
  <c r="H62" i="1"/>
  <c r="H50" i="1"/>
  <c r="H63" i="1"/>
  <c r="T41" i="1" l="1"/>
  <c r="T42" i="1" s="1"/>
  <c r="T19" i="1" a="1"/>
  <c r="T19" i="1" s="1"/>
  <c r="J40" i="1" a="1"/>
  <c r="J40" i="1" s="1"/>
  <c r="L44" i="1"/>
  <c r="J44" i="1"/>
  <c r="F45" i="1" l="1"/>
  <c r="F46" i="1" s="1"/>
  <c r="P43" i="1"/>
  <c r="L43" i="1"/>
  <c r="R44" i="1"/>
  <c r="M44" i="1"/>
  <c r="N44" i="1"/>
  <c r="O44" i="1"/>
  <c r="P44" i="1"/>
  <c r="Q44" i="1"/>
  <c r="S44" i="1"/>
  <c r="F47" i="1" l="1"/>
  <c r="H47" i="1"/>
  <c r="L45" i="1"/>
  <c r="L46" i="1" s="1"/>
  <c r="P45" i="1"/>
  <c r="P4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J32" i="1" a="1"/>
  <c r="J32" i="1" s="1"/>
  <c r="J56" i="1" s="1"/>
  <c r="F32" i="1" a="1"/>
  <c r="F32" i="1" s="1"/>
  <c r="F56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P55" i="1" s="1"/>
  <c r="O30" i="1" a="1"/>
  <c r="O30" i="1" s="1"/>
  <c r="O55" i="1" s="1"/>
  <c r="N30" i="1" a="1"/>
  <c r="N30" i="1" s="1"/>
  <c r="M30" i="1" a="1"/>
  <c r="M30" i="1" s="1"/>
  <c r="M55" i="1" s="1"/>
  <c r="L30" i="1" a="1"/>
  <c r="L30" i="1" s="1"/>
  <c r="L55" i="1" s="1"/>
  <c r="J30" i="1" a="1"/>
  <c r="J30" i="1" s="1"/>
  <c r="J55" i="1" s="1"/>
  <c r="F30" i="1" a="1"/>
  <c r="F30" i="1" s="1"/>
  <c r="F55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J28" i="1" a="1"/>
  <c r="J28" i="1" s="1"/>
  <c r="J54" i="1" s="1"/>
  <c r="F28" i="1" a="1"/>
  <c r="F28" i="1" s="1"/>
  <c r="F54" i="1" s="1"/>
  <c r="N55" i="1" l="1"/>
  <c r="O47" i="1"/>
  <c r="N47" i="1"/>
  <c r="M47" i="1"/>
  <c r="L47" i="1"/>
  <c r="S47" i="1"/>
  <c r="R47" i="1"/>
  <c r="Q47" i="1"/>
  <c r="P47" i="1"/>
  <c r="J47" i="1"/>
  <c r="S34" i="1" a="1"/>
  <c r="S34" i="1" s="1"/>
  <c r="S57" i="1" s="1"/>
  <c r="J60" i="1"/>
  <c r="J38" i="1" a="1"/>
  <c r="J38" i="1" s="1"/>
  <c r="J59" i="1" s="1"/>
  <c r="J36" i="1" a="1"/>
  <c r="J36" i="1" s="1"/>
  <c r="J58" i="1" s="1"/>
  <c r="J34" i="1" a="1"/>
  <c r="J34" i="1" s="1"/>
  <c r="J57" i="1" s="1"/>
  <c r="J26" i="1" a="1"/>
  <c r="J26" i="1" s="1"/>
  <c r="J53" i="1" s="1"/>
  <c r="J24" i="1" a="1"/>
  <c r="J24" i="1" s="1"/>
  <c r="J52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M40" i="1" a="1"/>
  <c r="M40" i="1" s="1"/>
  <c r="M60" i="1" s="1"/>
  <c r="L40" i="1" a="1"/>
  <c r="L40" i="1" s="1"/>
  <c r="L60" i="1" s="1"/>
  <c r="F40" i="1" a="1"/>
  <c r="F40" i="1" s="1"/>
  <c r="F60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M38" i="1" a="1"/>
  <c r="M38" i="1" s="1"/>
  <c r="M59" i="1" s="1"/>
  <c r="L38" i="1" a="1"/>
  <c r="L38" i="1" s="1"/>
  <c r="L59" i="1" s="1"/>
  <c r="F38" i="1" a="1"/>
  <c r="F38" i="1" s="1"/>
  <c r="F59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M36" i="1" a="1"/>
  <c r="M36" i="1" s="1"/>
  <c r="M58" i="1" s="1"/>
  <c r="L36" i="1" a="1"/>
  <c r="L36" i="1" s="1"/>
  <c r="L58" i="1" s="1"/>
  <c r="F36" i="1" a="1"/>
  <c r="F36" i="1" s="1"/>
  <c r="F58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M34" i="1" a="1"/>
  <c r="M34" i="1" s="1"/>
  <c r="M57" i="1" s="1"/>
  <c r="L34" i="1" a="1"/>
  <c r="L34" i="1" s="1"/>
  <c r="L57" i="1" s="1"/>
  <c r="F34" i="1" a="1"/>
  <c r="F34" i="1" s="1"/>
  <c r="F57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M26" i="1" a="1"/>
  <c r="M26" i="1" s="1"/>
  <c r="M53" i="1" s="1"/>
  <c r="L26" i="1" a="1"/>
  <c r="L26" i="1" s="1"/>
  <c r="L53" i="1" s="1"/>
  <c r="F26" i="1" a="1"/>
  <c r="F26" i="1" s="1"/>
  <c r="F53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52" i="1"/>
  <c r="N24" i="1" a="1"/>
  <c r="N24" i="1" s="1"/>
  <c r="N52" i="1" s="1"/>
  <c r="M24" i="1" a="1"/>
  <c r="M24" i="1" s="1"/>
  <c r="M52" i="1" s="1"/>
  <c r="L24" i="1" a="1"/>
  <c r="L24" i="1" s="1"/>
  <c r="L52" i="1" s="1"/>
  <c r="F24" i="1" a="1"/>
  <c r="F24" i="1" s="1"/>
  <c r="F52" i="1" s="1"/>
  <c r="L50" i="1" l="1"/>
  <c r="L62" i="1"/>
  <c r="J62" i="1"/>
  <c r="J50" i="1"/>
  <c r="J63" i="1"/>
  <c r="F62" i="1"/>
  <c r="F50" i="1"/>
  <c r="F63" i="1"/>
  <c r="L63" i="1"/>
  <c r="M62" i="1"/>
  <c r="M63" i="1"/>
  <c r="N62" i="1"/>
  <c r="N63" i="1"/>
  <c r="O62" i="1"/>
  <c r="O63" i="1"/>
  <c r="P63" i="1"/>
  <c r="P62" i="1"/>
  <c r="Q62" i="1"/>
  <c r="Q63" i="1"/>
  <c r="R62" i="1"/>
  <c r="R63" i="1"/>
  <c r="S63" i="1"/>
  <c r="S62" i="1"/>
  <c r="P50" i="1"/>
  <c r="Q50" i="1"/>
  <c r="R50" i="1"/>
  <c r="S50" i="1"/>
  <c r="M50" i="1"/>
  <c r="N50" i="1"/>
  <c r="O50" i="1"/>
  <c r="F48" i="1"/>
  <c r="G48" i="1" s="1"/>
  <c r="F61" i="1" l="1"/>
  <c r="Q61" i="1"/>
  <c r="P61" i="1"/>
  <c r="M61" i="1"/>
  <c r="L61" i="1"/>
  <c r="G51" i="1"/>
  <c r="F51" i="1"/>
  <c r="L51" i="1"/>
  <c r="P51" i="1"/>
  <c r="Q51" i="1"/>
  <c r="M51" i="1"/>
  <c r="T62" i="1" l="1"/>
  <c r="R5" i="1"/>
  <c r="A7" i="1" s="1"/>
  <c r="W50" i="1" l="1"/>
  <c r="T54" i="1" s="1"/>
  <c r="W49" i="1" s="1"/>
  <c r="I18" i="1" s="1"/>
  <c r="J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<sst xmlns="http://schemas.openxmlformats.org/spreadsheetml/2006/main" count="121" uniqueCount="80">
  <si>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</si>
  <si>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</si>
  <si>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</si>
  <si>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</si>
  <si>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</si>
  <si>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</si>
  <si>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</si>
  <si>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</si>
  <si>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</si>
  <si>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</si>
  <si>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</si>
  <si>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</si>
  <si>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</si>
  <si>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</si>
  <si>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</si>
  <si>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</si>
  <si>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</si>
  <si>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</si>
  <si>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</si>
  <si>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</si>
  <si>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</si>
  <si>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</si>
  <si>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</si>
  <si>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</si>
  <si>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</si>
  <si>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</si>
  <si>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</si>
  <si>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</si>
  <si>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</si>
  <si>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</si>
  <si>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</si>
  <si>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</si>
  <si>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</si>
  <si>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</si>
  <si>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</si>
  <si>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</si>
  <si>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</si>
  <si>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</si>
  <si>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</si>
  <si>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</si>
  <si>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</si>
  <si>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</si>
  <si>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</si>
  <si>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</si>
  <si>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</si>
  <si>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</si>
  <si>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</si>
  <si>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</si>
  <si>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</si>
  <si>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</si>
  <si>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1000m</t>
  </si>
  <si>
    <t>50m haies Electrique</t>
  </si>
  <si>
    <t>4 x 60m
Electrique</t>
  </si>
  <si>
    <t>4 x 60m Mixte
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</si>
  <si>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</si>
  <si>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</si>
  <si>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</si>
  <si>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</si>
  <si>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</si>
  <si>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</si>
  <si>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</si>
  <si>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</si>
  <si>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</si>
  <si>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</si>
  <si>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</si>
  <si>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</si>
  <si>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</si>
  <si>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</si>
  <si>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</si>
  <si>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</si>
  <si>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BF</t>
  </si>
  <si>
    <t>BG</t>
  </si>
  <si>
    <t>CHAMPIONNAT NATIONAL BF</t>
  </si>
  <si>
    <t>CHAMPIONNAT NATIONAL BG</t>
  </si>
  <si>
    <t>CRITERIUM DE FRANCE BF BG</t>
  </si>
  <si>
    <t>ATHLETISME PLEIN AIR - BENJAMINES ET BENJAMINS
VERIFICATION EQUIPE ET TOTAL DES COTATIONS</t>
  </si>
  <si>
    <t>50m
Electrique</t>
  </si>
  <si>
    <t>50m</t>
  </si>
  <si>
    <t>50h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</si>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</sst>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/>
    </xf>
    <xf numFmtId="2" fontId="0" fillId="12" borderId="30" xfId="0" applyNumberFormat="1" applyFill="1" applyBorder="1" applyAlignment="1">
      <alignment horizontal="center"/>
    </xf>
    <xf numFmtId="164" fontId="0" fillId="12" borderId="30" xfId="0" applyNumberFormat="1" applyFill="1" applyBorder="1" applyAlignment="1">
      <alignment horizontal="center"/>
    </xf>
    <xf numFmtId="1" fontId="0" fillId="12" borderId="30" xfId="0" applyNumberFormat="1" applyFill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13" borderId="31" xfId="0" applyFill="1" applyBorder="1" applyAlignment="1">
      <alignment horizontal="center"/>
    </xf>
    <xf numFmtId="2" fontId="0" fillId="13" borderId="31" xfId="0" applyNumberFormat="1" applyFill="1" applyBorder="1" applyAlignment="1">
      <alignment horizontal="center"/>
    </xf>
    <xf numFmtId="164" fontId="0" fillId="13" borderId="31" xfId="0" applyNumberFormat="1" applyFill="1" applyBorder="1" applyAlignment="1">
      <alignment horizontal="center"/>
    </xf>
    <xf numFmtId="1" fontId="0" fillId="13" borderId="31" xfId="0" applyNumberFormat="1" applyFill="1" applyBorder="1" applyAlignment="1">
      <alignment horizontal="center"/>
    </xf>
    <xf numFmtId="2" fontId="0" fillId="14" borderId="31" xfId="0" applyNumberFormat="1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2" fontId="0" fillId="15" borderId="31" xfId="0" applyNumberFormat="1" applyFill="1" applyBorder="1" applyAlignment="1">
      <alignment horizontal="center"/>
    </xf>
    <xf numFmtId="164" fontId="0" fillId="15" borderId="31" xfId="0" applyNumberFormat="1" applyFill="1" applyBorder="1" applyAlignment="1">
      <alignment horizontal="center"/>
    </xf>
    <xf numFmtId="2" fontId="9" fillId="15" borderId="31" xfId="0" applyNumberFormat="1" applyFont="1" applyFill="1" applyBorder="1" applyAlignment="1">
      <alignment horizontal="center"/>
    </xf>
    <xf numFmtId="1" fontId="0" fillId="1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1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8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1" fontId="7" fillId="10" borderId="2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6" xfId="0" applyFont="1" applyBorder="1" applyAlignment="1">
      <alignment horizontal="center" vertical="center" shrinkToFi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164" fontId="6" fillId="6" borderId="2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5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1" xfId="0" applyFont="1" applyFill="1" applyBorder="1" applyAlignment="1">
      <alignment horizontal="right" vertical="center"/>
    </xf>
    <xf numFmtId="0" fontId="6" fillId="10" borderId="51" xfId="0" applyFont="1" applyFill="1" applyBorder="1" applyAlignment="1">
      <alignment horizontal="right" vertical="center"/>
    </xf>
    <xf numFmtId="164" fontId="6" fillId="7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51" xfId="0" applyFont="1" applyFill="1" applyBorder="1" applyAlignment="1">
      <alignment horizontal="right" vertical="center"/>
    </xf>
    <xf numFmtId="164" fontId="6" fillId="8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1" xfId="0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5" fillId="7" borderId="38" xfId="0" applyFont="1" applyFill="1" applyBorder="1" applyAlignment="1" applyProtection="1">
      <alignment horizontal="center" vertical="center" shrinkToFit="1"/>
      <protection locked="0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7" borderId="45" xfId="0" applyFill="1" applyBorder="1" applyAlignment="1">
      <alignment horizontal="center" vertical="center"/>
    </xf>
    <xf numFmtId="0" fontId="5" fillId="8" borderId="41" xfId="0" applyFont="1" applyFill="1" applyBorder="1" applyAlignment="1" applyProtection="1">
      <alignment horizontal="center" vertical="center" shrinkToFit="1"/>
      <protection locked="0"/>
    </xf>
    <xf numFmtId="0" fontId="5" fillId="8" borderId="38" xfId="0" applyFont="1" applyFill="1" applyBorder="1" applyAlignment="1" applyProtection="1">
      <alignment horizontal="center" vertical="center" shrinkToFit="1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14" fontId="5" fillId="8" borderId="39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7" borderId="39" xfId="0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left" vertical="center" wrapText="1"/>
    </xf>
    <xf numFmtId="0" fontId="6" fillId="18" borderId="51" xfId="0" applyFont="1" applyFill="1" applyBorder="1" applyAlignment="1">
      <alignment horizontal="right" vertical="center"/>
    </xf>
    <xf numFmtId="164" fontId="6" fillId="6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4" borderId="51" xfId="0" applyFont="1" applyFill="1" applyBorder="1" applyAlignment="1">
      <alignment horizontal="right" vertical="center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6" fillId="5" borderId="51" xfId="0" applyFont="1" applyFill="1" applyBorder="1" applyAlignment="1">
      <alignment horizontal="right" vertical="center"/>
    </xf>
    <xf numFmtId="0" fontId="0" fillId="0" borderId="4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2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49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6" fillId="3" borderId="26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14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2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5" fillId="6" borderId="38" xfId="0" applyFont="1" applyFill="1" applyBorder="1" applyAlignment="1" applyProtection="1">
      <alignment horizontal="center" vertical="center" shrinkToFit="1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/>
    </xf>
    <xf numFmtId="2" fontId="9" fillId="0" borderId="33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</cellXfs>
  <cellStyles count="1">
    <cellStyle name="Normal" xfId="0" builtinId="0"/>
  </cellStyles>
  <dxfs count="2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X78"/>
  <sheetViews>
    <sheetView tabSelected="1" zoomScale="70" zoomScaleNormal="70" workbookViewId="0">
      <selection activeCell="B23" sqref="B23:B24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1" width="14.77734375" customWidth="1"/>
    <col min="12" max="19" width="10.109375" customWidth="1"/>
    <col min="20" max="20" width="23.44140625" customWidth="1"/>
    <col min="21" max="21" width="23.44140625" hidden="1" customWidth="1"/>
    <col min="22" max="22" width="3.44140625" customWidth="1"/>
    <col min="24" max="24" width="0" hidden="1" customWidth="1"/>
  </cols>
  <sheetData>
    <row r="1" spans="1:24" ht="66.599999999999994" customHeight="1" thickTop="1" thickBot="1" x14ac:dyDescent="0.7">
      <c r="A1" s="138" t="s">
        <v>75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40"/>
    </row>
    <row r="2" spans="1:24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4" ht="23.4" customHeight="1" x14ac:dyDescent="0.3">
      <c r="A3" s="114" t="s">
        <v>42</v>
      </c>
      <c r="B3" s="115"/>
      <c r="C3" s="56"/>
      <c r="D3" s="6"/>
      <c r="E3" s="114" t="s">
        <v>28</v>
      </c>
      <c r="F3" s="115"/>
      <c r="G3" s="115"/>
      <c r="H3" s="68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5"/>
    </row>
    <row r="4" spans="1:24" ht="15" customHeight="1" x14ac:dyDescent="0.3">
      <c r="A4" s="4"/>
      <c r="B4" s="1"/>
      <c r="C4" s="5"/>
      <c r="D4" s="5"/>
    </row>
    <row r="5" spans="1:24" ht="23.4" customHeight="1" x14ac:dyDescent="0.3">
      <c r="A5" s="4"/>
      <c r="B5" s="1"/>
      <c r="C5" s="5"/>
      <c r="E5" s="114" t="s">
        <v>22</v>
      </c>
      <c r="F5" s="115"/>
      <c r="G5" s="115"/>
      <c r="H5" s="119"/>
      <c r="I5" s="119"/>
      <c r="J5" s="119"/>
      <c r="K5" s="119"/>
      <c r="L5" s="120"/>
      <c r="N5" s="121" t="s">
        <v>23</v>
      </c>
      <c r="O5" s="122"/>
      <c r="P5" s="116" t="str">
        <f>IF(H5="CHAMPIONNAT NATIONAL BF","FILLES",IF(H5="CHAMPIONNAT NATIONAL BG","GARCONS",IF(H5="CRITERIUM DE FRANCE BF BG","MIXTE","")))</f>
        <v/>
      </c>
      <c r="Q5" s="116"/>
      <c r="R5" s="117" t="str">
        <f>IF(H5="","NON",IF(P5="","NON","OUI"))</f>
        <v>NON</v>
      </c>
      <c r="S5" s="118"/>
    </row>
    <row r="6" spans="1:24" ht="23.4" x14ac:dyDescent="0.3">
      <c r="A6" s="106" t="s">
        <v>3</v>
      </c>
      <c r="B6" s="107"/>
      <c r="C6" s="108"/>
    </row>
    <row r="7" spans="1:24" s="1" customFormat="1" ht="30" customHeight="1" x14ac:dyDescent="0.3">
      <c r="A7" s="109" t="str">
        <f>IF((OR(X23="NON",X25="NON",X27="NON",X29="NON",X31="NON",X33="NON",X35="NON",X37="NON",X39="NON",D21="NON",T42="NON",F43="NON",L43="NON",P43="NON",F46="NON",L46="NON",P46="NON",G48="NON",R5="NON",F45="NON",L45="NON",P45="NON",F47="NON",H47="NON",J47="NON",L47="NON",M47="NON",N47="NON",O47="NON",P47="NON",Q47="NON",R47="NON",S47="NON")),"NON","OUI")</f>
        <v>NON</v>
      </c>
      <c r="B7" s="110"/>
      <c r="C7" s="111"/>
      <c r="F7" s="112" t="s">
        <v>35</v>
      </c>
      <c r="G7" s="113"/>
      <c r="H7" s="113"/>
      <c r="I7" s="57" t="s">
        <v>34</v>
      </c>
      <c r="J7" s="113" t="str">
        <f>IF(A7="NON","non conforme donc 0",W49)&amp;" pt(s)"</f>
        <v>non conforme donc 0 pt(s)</v>
      </c>
      <c r="K7" s="123"/>
    </row>
    <row r="8" spans="1:24" s="1" customFormat="1" ht="15" customHeight="1" x14ac:dyDescent="0.3">
      <c r="A8" s="49"/>
      <c r="B8" s="49"/>
      <c r="C8" s="49"/>
      <c r="F8" s="50"/>
      <c r="G8" s="51"/>
      <c r="H8"/>
      <c r="I8" s="50"/>
      <c r="J8" s="51"/>
      <c r="K8" s="5"/>
      <c r="W8" s="52"/>
    </row>
    <row r="9" spans="1:24" s="1" customFormat="1" ht="35.1" customHeight="1" x14ac:dyDescent="0.3">
      <c r="A9" s="175" t="s">
        <v>47</v>
      </c>
      <c r="B9" s="176"/>
      <c r="C9" s="176"/>
      <c r="D9" s="176"/>
      <c r="E9" s="177"/>
      <c r="G9" s="134" t="s">
        <v>15</v>
      </c>
      <c r="H9" s="134"/>
      <c r="I9" s="134"/>
      <c r="J9" s="134"/>
      <c r="K9" s="155" t="s">
        <v>43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59"/>
    </row>
    <row r="10" spans="1:24" s="1" customFormat="1" ht="35.1" customHeight="1" x14ac:dyDescent="0.3">
      <c r="A10" s="178"/>
      <c r="B10" s="179"/>
      <c r="C10" s="179"/>
      <c r="D10" s="179"/>
      <c r="E10" s="180"/>
      <c r="G10" s="137" t="s">
        <v>21</v>
      </c>
      <c r="H10" s="137"/>
      <c r="I10" s="137"/>
      <c r="J10" s="137"/>
      <c r="K10" s="155" t="s">
        <v>44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59"/>
    </row>
    <row r="11" spans="1:24" s="1" customFormat="1" ht="35.1" customHeight="1" x14ac:dyDescent="0.3">
      <c r="A11" s="178"/>
      <c r="B11" s="179"/>
      <c r="C11" s="179"/>
      <c r="D11" s="179"/>
      <c r="E11" s="180"/>
      <c r="G11" s="159" t="s">
        <v>27</v>
      </c>
      <c r="H11" s="159"/>
      <c r="I11" s="159"/>
      <c r="J11" s="159"/>
      <c r="K11" s="155" t="s">
        <v>79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59"/>
    </row>
    <row r="12" spans="1:24" s="1" customFormat="1" ht="35.1" customHeight="1" x14ac:dyDescent="0.3">
      <c r="A12" s="178"/>
      <c r="B12" s="179"/>
      <c r="C12" s="179"/>
      <c r="D12" s="179"/>
      <c r="E12" s="180"/>
      <c r="G12" s="163" t="s">
        <v>57</v>
      </c>
      <c r="H12" s="163"/>
      <c r="I12" s="163"/>
      <c r="J12" s="163"/>
      <c r="K12" s="155" t="s">
        <v>60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59"/>
    </row>
    <row r="13" spans="1:24" s="1" customFormat="1" ht="35.1" customHeight="1" x14ac:dyDescent="0.3">
      <c r="A13" s="178"/>
      <c r="B13" s="179"/>
      <c r="C13" s="179"/>
      <c r="D13" s="179"/>
      <c r="E13" s="180"/>
      <c r="G13" s="156" t="s">
        <v>58</v>
      </c>
      <c r="H13" s="156"/>
      <c r="I13" s="156"/>
      <c r="J13" s="156"/>
      <c r="K13" s="155" t="s">
        <v>61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59"/>
    </row>
    <row r="14" spans="1:24" ht="35.1" customHeight="1" x14ac:dyDescent="0.3">
      <c r="A14" s="178"/>
      <c r="B14" s="179"/>
      <c r="C14" s="179"/>
      <c r="D14" s="179"/>
      <c r="E14" s="180"/>
      <c r="G14" s="130" t="s">
        <v>54</v>
      </c>
      <c r="H14" s="130"/>
      <c r="I14" s="130"/>
      <c r="J14" s="130"/>
      <c r="K14" s="155" t="s">
        <v>62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59"/>
    </row>
    <row r="15" spans="1:24" ht="35.1" customHeight="1" x14ac:dyDescent="0.3">
      <c r="A15" s="178"/>
      <c r="B15" s="179"/>
      <c r="C15" s="179"/>
      <c r="D15" s="179"/>
      <c r="E15" s="180"/>
      <c r="G15" s="194" t="s">
        <v>55</v>
      </c>
      <c r="H15" s="195"/>
      <c r="I15" s="195"/>
      <c r="J15" s="196"/>
      <c r="K15" s="155" t="s">
        <v>46</v>
      </c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59"/>
    </row>
    <row r="16" spans="1:24" ht="35.1" customHeight="1" x14ac:dyDescent="0.3">
      <c r="A16" s="178"/>
      <c r="B16" s="179"/>
      <c r="C16" s="179"/>
      <c r="D16" s="179"/>
      <c r="E16" s="180"/>
      <c r="G16" s="131" t="s">
        <v>56</v>
      </c>
      <c r="H16" s="131"/>
      <c r="I16" s="131"/>
      <c r="J16" s="131"/>
      <c r="K16" s="155" t="s">
        <v>45</v>
      </c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59"/>
    </row>
    <row r="17" spans="1:24" ht="26.1" customHeight="1" thickBot="1" x14ac:dyDescent="0.35">
      <c r="A17" s="178"/>
      <c r="B17" s="179"/>
      <c r="C17" s="179"/>
      <c r="D17" s="179"/>
      <c r="E17" s="180"/>
      <c r="I17" s="171" t="s">
        <v>36</v>
      </c>
      <c r="J17" s="172"/>
    </row>
    <row r="18" spans="1:24" ht="30" customHeight="1" thickTop="1" x14ac:dyDescent="0.3">
      <c r="A18" s="178"/>
      <c r="B18" s="179"/>
      <c r="C18" s="179"/>
      <c r="D18" s="179"/>
      <c r="E18" s="180"/>
      <c r="F18" s="48"/>
      <c r="G18" s="48"/>
      <c r="H18" s="48"/>
      <c r="I18" s="173" t="str">
        <f>W49&amp;" pt(s)"</f>
        <v>0 pt(s)</v>
      </c>
      <c r="J18" s="174"/>
      <c r="L18" s="47"/>
      <c r="M18" s="47"/>
      <c r="N18" s="47"/>
      <c r="O18" s="47"/>
      <c r="P18" s="47"/>
      <c r="Q18" s="47"/>
      <c r="R18" s="47"/>
      <c r="S18" s="47"/>
      <c r="T18" s="62" t="s">
        <v>48</v>
      </c>
      <c r="U18" s="73"/>
      <c r="V18" s="47"/>
    </row>
    <row r="19" spans="1:24" ht="15" customHeight="1" thickBot="1" x14ac:dyDescent="0.35">
      <c r="A19" s="181"/>
      <c r="B19" s="182"/>
      <c r="C19" s="182"/>
      <c r="D19" s="182"/>
      <c r="E19" s="183"/>
      <c r="T19" s="207" t="str" cm="1">
        <f t="array" ref="T19">IF($T21="","Pas de genre pour le relais donc 0",IF(COUNTA(T23:T40)=0,"Pas de perf donc 0",IF(COUNTA(T23:T40)&lt;4,"Pas assez de membres donc 0",IF(COUNTIF(T23:T40,"x")&gt;6,"Trop de membres donc 0",IF(COUNTA(T23:T40)&gt;6,"Trop de membres donc 0",IF(AND(T21="BG",COUNTIF(U23:U40,"BG")&lt;4),"pas assez de garçons dans le relais BG donc 0",IF(AND(T21="BG",COUNTIF(U23:U40,"BG")&gt;6),"trop de garçons dans le relais BG donc 0",IF(AND(T21="BG",COUNTIF(U23:U40,"BF")&gt;0),"filles dans un relais BG donc 0",IF(AND(T21="BF",COUNTIF(U23:U40,"BF")&lt;4),"pas assez de filles dans le relais BF donc 0",IF(AND(T21="BF",COUNTIF(U23:U40,"BF")&gt;6),"trop de filles dans le relais BF donc 0",IF(AND(T21="BF",COUNTIF(U23:U40,"BG")&gt;0),"garçons dans un relais BF donc 0",IF(AND(T21="MIXTE",OR(COUNTIF(U23:U40,"BF")&lt;2,COUNTIF(U23:U40,"BF")&gt;3,COUNTIF(U23:U40,"BG")&lt;2,COUNTIF(U23:U40,"BG")&gt;3)),"pb nb de garçons et/ou BF dans relais mixte donc 0",IF(COUNTIF(T23:T40,"DSQ")=COUNTA(T23:T40),"DSQ donc 1",IF(AND(COUNTIF(T23:T40,"DSQ")&gt;0,COUNTIF(T23:T40,"DSQ")&lt;&gt;COUNTA(T23:T40)),"perf différentes donc 0",IF(COUNTIF(T23:T40,"ABD")=COUNTA(T23:T40),"ABD donc 1",IF(AND(COUNTIF(T23:T40,"ABD")&gt;0,COUNTIF(T23:T40,"ABD")&lt;&gt;COUNTA(T23:T40)),"perf différentes donc 0",IF(COUNTIF(T23:T40,"NP")=COUNTA(T23:T40),"NP donc 0",IF(AND(COUNTIF(T23:T40,"NP")&gt;0,COUNTIF(T23:T40,"NP")&lt;&gt;COUNTA(T23:T40)),"perf différentes donc 0",IF(COUNTIF(T23:T40,"x")=6,"pas de perf donc 0",IF(AND(COUNTIF(T23:T40,"x")=5,COUNTA(T23:T40)=5),"pas de perf donc 0",IF(AND(COUNTIF(T23:T40,"x")=4,COUNTA(T23:T40)=4),"pas de perf donc 0",IF(AND(COUNTIF(T23:T40,"x")=5,COUNTA(T23:T40)&gt;5),"perf différentes donc 0",IF(AND(COUNTIF(T23:T40,"x")=4,COUNTA(T23:T40)&gt;4),"perf différentes donc 0",IF(AND(COUNTIF(T23:T40,"x")=3,COUNTA(T23:T40)&gt;3),"perf différentes donc 0",IF(AND(COUNTIF(T23:T40,"x")=2,COUNTA(T23:T40)&gt;2),"perf différentes donc 0",IF(AND(COUNTIF(T23:T40,"x")=1,COUNTA(T23:T40)&gt;1),"perf différentes donc 0",IF((_xlfn.XLOOKUP(AVERAGE(T23:T40),T23:T40,T23:T40,0,0,1)&lt;&gt;AVERAGE(T23:T40)),"Perfs du relais différentes donc 0",IF($T21="BF",IF(AVERAGE(T23:T40)&lt;Ben_F!R$2,Ben_F!$A$2,IF(COUNTIF(Ben_F!R:R,AVERAGE(T23:T40))=1,_xlfn.XLOOKUP(AVERAGE(T23:T40),Ben_F!R:R,Ben_F!$A:$A),INDEX(Ben_F!$A:$A,MATCH(AVERAGE(T23:T40),Ben_F!R:R)+1))),IF($T21="BG",IF(AVERAGE(T23:T40)&lt;Ben_G!R$2,Ben_G!$A$2,IF(COUNTIF(Ben_G!R:R,AVERAGE(T23:T40))=1,_xlfn.XLOOKUP(AVERAGE(T23:T40),Ben_G!R:R,Ben_G!$A:$A),INDEX(Ben_G!$A:$A,MATCH(AVERAGE(T23:T40),Ben_G!R:R)+1))),IF($T21="MIXTE",IF(AVERAGE(T23:T40)&lt;Ben_G!S$2,Ben_G!$A$2,IF(COUNTIF(Ben_G!S:S,AVERAGE(T23:T40))=1,_xlfn.XLOOKUP(AVERAGE(T23:T40),Ben_G!S:S,Ben_G!$A:$A),INDEX(Ben_G!$A:$A,MATCH(AVERAGE(T23:T40),Ben_G!S:S)+1))))))))))))))))))))))))))))))))&amp;" pt(s)")</f>
        <v>Pas de genre pour le relais donc 0</v>
      </c>
      <c r="U19" s="50"/>
    </row>
    <row r="20" spans="1:24" ht="30" customHeight="1" thickTop="1" thickBot="1" x14ac:dyDescent="0.35">
      <c r="F20" s="81" t="s">
        <v>12</v>
      </c>
      <c r="G20" s="83"/>
      <c r="H20" s="83"/>
      <c r="I20" s="83"/>
      <c r="J20" s="83"/>
      <c r="K20" s="82"/>
      <c r="L20" s="164" t="s">
        <v>13</v>
      </c>
      <c r="M20" s="165"/>
      <c r="N20" s="165"/>
      <c r="O20" s="166"/>
      <c r="P20" s="164" t="s">
        <v>14</v>
      </c>
      <c r="Q20" s="165"/>
      <c r="R20" s="165"/>
      <c r="S20" s="166"/>
      <c r="T20" s="208"/>
      <c r="U20" s="50"/>
      <c r="W20" s="70"/>
    </row>
    <row r="21" spans="1:24" ht="30" customHeight="1" thickTop="1" thickBot="1" x14ac:dyDescent="0.35">
      <c r="B21" s="184" t="s">
        <v>20</v>
      </c>
      <c r="C21" s="185"/>
      <c r="D21" s="8" t="str">
        <f>IF(COUNTA(D23:D40)&lt;5,"NON",IF(P5="","genre?",IF(AND(P5="FILLES",OR(((COUNTIF(D23:D40,"F"))&lt;5),(COUNTIF(D23:D40,"G"))&gt;0)),"NON",IF(AND(P5="GARCONS",OR(((COUNTIF(D23:D40,"G"))&lt;5),(COUNTIF(D23:D40,"F"))&gt;0)),"NON",IF(AND(P5="MIXTE",(COUNTIF(D23:D40,"F")+COUNTIF(D23:D40,"G"))&lt;5),"NON","OUI")))))</f>
        <v>NON</v>
      </c>
      <c r="F21" s="162" t="s">
        <v>38</v>
      </c>
      <c r="G21" s="81"/>
      <c r="H21" s="86" t="s">
        <v>39</v>
      </c>
      <c r="I21" s="87"/>
      <c r="J21" s="82" t="s">
        <v>40</v>
      </c>
      <c r="K21" s="162"/>
      <c r="L21" s="167"/>
      <c r="M21" s="168"/>
      <c r="N21" s="168"/>
      <c r="O21" s="169"/>
      <c r="P21" s="167"/>
      <c r="Q21" s="168"/>
      <c r="R21" s="168"/>
      <c r="S21" s="169"/>
      <c r="T21" s="160"/>
      <c r="V21" s="199" t="s">
        <v>16</v>
      </c>
      <c r="W21" s="200"/>
    </row>
    <row r="22" spans="1:24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81" t="s">
        <v>77</v>
      </c>
      <c r="G22" s="87"/>
      <c r="H22" s="86" t="s">
        <v>78</v>
      </c>
      <c r="I22" s="87"/>
      <c r="J22" s="86" t="s">
        <v>50</v>
      </c>
      <c r="K22" s="82"/>
      <c r="L22" s="36" t="s">
        <v>5</v>
      </c>
      <c r="M22" s="36" t="s">
        <v>6</v>
      </c>
      <c r="N22" s="36" t="s">
        <v>4</v>
      </c>
      <c r="O22" s="38" t="s">
        <v>7</v>
      </c>
      <c r="P22" s="39" t="s">
        <v>8</v>
      </c>
      <c r="Q22" s="36" t="s">
        <v>9</v>
      </c>
      <c r="R22" s="36" t="s">
        <v>11</v>
      </c>
      <c r="S22" s="38" t="s">
        <v>10</v>
      </c>
      <c r="T22" s="161"/>
      <c r="U22" s="5" t="s">
        <v>59</v>
      </c>
      <c r="V22" s="201"/>
      <c r="W22" s="202"/>
    </row>
    <row r="23" spans="1:24" ht="30" customHeight="1" thickTop="1" x14ac:dyDescent="0.3">
      <c r="A23" s="141">
        <v>1</v>
      </c>
      <c r="B23" s="143"/>
      <c r="C23" s="143"/>
      <c r="D23" s="152"/>
      <c r="E23" s="103" t="str">
        <f t="shared" ref="E23:E25" si="0">IF(D23="","",IF(D23="F","BF","BG"))</f>
        <v/>
      </c>
      <c r="F23" s="98"/>
      <c r="G23" s="89"/>
      <c r="H23" s="88"/>
      <c r="I23" s="89"/>
      <c r="J23" s="88"/>
      <c r="K23" s="99"/>
      <c r="L23" s="40"/>
      <c r="M23" s="40"/>
      <c r="N23" s="40"/>
      <c r="O23" s="41"/>
      <c r="P23" s="42"/>
      <c r="Q23" s="40"/>
      <c r="R23" s="40"/>
      <c r="S23" s="41"/>
      <c r="T23" s="132"/>
      <c r="U23" s="211" t="str">
        <f>IF(T23="","",IF(E23="","",E23))</f>
        <v/>
      </c>
      <c r="V23" s="124" t="str">
        <f>IF(AND(E23="",COUNTA(F23:T23)&gt;0),"manque catégorie",IF(E23="","",IF(COUNTA(F23:T23)=0,"NON",IF(COUNTA(F23:S23)&gt;3,"NON",IF(COUNTA(F23:K23)&gt;1,"NON",IF(COUNTA(L23:O23)&gt;1,"NON",IF(COUNTA(P23:S23)&gt;1,"NON",IF(AND(COUNTA(T23)=1,COUNTA(F23:S23)=0),"NON","OUI"))))))))</f>
        <v/>
      </c>
      <c r="W23" s="125"/>
      <c r="X23" s="80" t="str">
        <f>IF(V23="","",IF(V23="manque catégorie","NON",IF(V23="NON","NON","OUI")))</f>
        <v/>
      </c>
    </row>
    <row r="24" spans="1:24" ht="30" customHeight="1" thickBot="1" x14ac:dyDescent="0.35">
      <c r="A24" s="147"/>
      <c r="B24" s="154"/>
      <c r="C24" s="154"/>
      <c r="D24" s="153"/>
      <c r="E24" s="104"/>
      <c r="F24" s="97" t="str" cm="1">
        <f t="array" ref="F24">IF(AND($D23="",F23&lt;&gt;""),"Genre?",IF(F23="","",IF(F23="x",0,IF(F23="DSQ",1,IF(F23="ABD",1,IF(F23="NP",0,IF($D23="F",IF(F23&lt;Ben_F!B$2,Ben_F!$A$2,IF(COUNTIF(Ben_F!B:B,F23)=1,_xlfn.XLOOKUP(F23,Ben_F!B:B,Ben_F!$A:$A),INDEX(Ben_F!$A:$A,MATCH(F23,Ben_F!B:B)+1))),IF(F23&lt;Ben_G!B$2,Ben_G!$A$2,IF(COUNTIF(Ben_G!B:B,F23)=1,_xlfn.XLOOKUP(F23,Ben_G!B:B,Ben_G!$A:$A),INDEX(Ben_G!$A:$A,MATCH(F23,Ben_G!B:B)+1)))))))))&amp;IF(F23="",""," pt(s)"))</f>
        <v/>
      </c>
      <c r="G24" s="91"/>
      <c r="H24" s="90" t="str" cm="1">
        <f t="array" ref="H24">IF(AND($D23="",H23&lt;&gt;""),"Genre?",IF(H23="","",IF(H23="x",0,IF(H23="DSQ",1,IF(H23="ABD",1,IF(H23="NP",0,IF($D23="F",IF(H23&lt;Ben_F!G$2,Ben_F!$A$2,IF(COUNTIF(Ben_F!G:G,H23)=1,_xlfn.XLOOKUP(H23,Ben_F!G:G,Ben_F!$A:$A),INDEX(Ben_F!$A:$A,MATCH(H23,Ben_F!G:G)+1))),IF(H23&lt;Ben_G!G$2,Ben_G!$A$2,IF(COUNTIF(Ben_G!G:G,H23)=1,_xlfn.XLOOKUP(H23,Ben_G!G:G,Ben_G!$A:$A),INDEX(Ben_G!$A:$A,MATCH(H23,Ben_G!G:G)+1)))))))))&amp;IF(H23="",""," pt(s)"))</f>
        <v/>
      </c>
      <c r="I24" s="91"/>
      <c r="J24" s="90" t="str" cm="1">
        <f t="array" ref="J24">IF(AND($D23="",J23&lt;&gt;""),"Genre?",IF(J23="","",IF(J23="x",0,IF(J23="DSQ",1,IF(J23="ABD",1,IF(J23="NP",0,IF($D23="F",IF(J23&lt;Ben_F!D$2,Ben_F!$A$2,IF(COUNTIF(Ben_F!D:D,J23)=1,_xlfn.XLOOKUP(J23,Ben_F!D:D,Ben_F!$A:$A),INDEX(Ben_F!$A:$A,MATCH(J23,Ben_F!D:D)+1))),IF(J23&lt;Ben_G!D$2,Ben_G!$A$2,IF(COUNTIF(Ben_G!D:D,J23)=1,_xlfn.XLOOKUP(J23,Ben_G!D:D,Ben_G!$A:$A),INDEX(Ben_G!$A:$A,MATCH(J23,Ben_G!D:D)+1)))))))))&amp;IF(J23="",""," pt(s)"))</f>
        <v/>
      </c>
      <c r="K24" s="100"/>
      <c r="L24" s="53" t="str" cm="1">
        <f t="array" ref="L24">IF(AND($D23="",L23&lt;&gt;""),"Genre?",IF(L23="","",IF(L23="x",0,IF(L23="DSQ",1,IF(L23="ABD",1,IF(L23="NP",0,IF($D23="F",IF(L23&gt;Ben_F!J$2,Ben_F!$A$2,IF(COUNTIF(Ben_F!J:J,L23)=1,_xlfn.XLOOKUP(L23,Ben_F!J:J,Ben_F!$A:$A),INDEX(Ben_F!$A:$A,MATCH(L23,Ben_F!J:J,-1)+1))),IF(L23&gt;Ben_G!J$2,Ben_G!$A$2,IF(COUNTIF(Ben_G!J:J,L23)=1,_xlfn.XLOOKUP(L23,Ben_G!J:J,Ben_G!$A:$A),INDEX(Ben_G!$A:$A,MATCH(L23,Ben_G!J:J,-1)+1)))))))))&amp;IF(L23="",""," pt(s)"))</f>
        <v/>
      </c>
      <c r="M24" s="53" t="str" cm="1">
        <f t="array" ref="M24">IF(AND($D23="",M23&lt;&gt;""),"Genre?",IF(M23="","",IF(M23="x",0,IF(M23="DSQ",1,IF(M23="ABD",1,IF(M23="NP",0,IF($D23="F",IF(M23&gt;Ben_F!K$2,Ben_F!$A$2,IF(COUNTIF(Ben_F!K:K,M23)=1,_xlfn.XLOOKUP(M23,Ben_F!K:K,Ben_F!$A:$A),INDEX(Ben_F!$A:$A,MATCH(M23,Ben_F!K:K,-1)+1))),IF(M23&gt;Ben_G!K$2,Ben_G!$A$2,IF(COUNTIF(Ben_G!K:K,M23)=1,_xlfn.XLOOKUP(M23,Ben_G!K:K,Ben_G!$A:$A),INDEX(Ben_G!$A:$A,MATCH(M23,Ben_G!K:K,-1)+1)))))))))&amp;IF(M23="",""," pt(s)"))</f>
        <v/>
      </c>
      <c r="N24" s="53" t="str" cm="1">
        <f t="array" ref="N24">IF(AND($D23="",N23&lt;&gt;""),"Genre?",IF(N23="","",IF(N23="x",0,IF(N23="DSQ",1,IF(N23="ABD",1,IF(N23="NP",0,IF($D23="F",IF(N23&gt;Ben_F!L$2,Ben_F!$A$2,IF(COUNTIF(Ben_F!L:L,N23)=1,_xlfn.XLOOKUP(N23,Ben_F!L:L,Ben_F!$A:$A),INDEX(Ben_F!$A:$A,MATCH(N23,Ben_F!L:L,-1)+1))),IF(N23&gt;Ben_G!L$2,Ben_G!$A$2,IF(COUNTIF(Ben_G!L:L,N23)=1,_xlfn.XLOOKUP(N23,Ben_G!L:L,Ben_G!$A:$A),INDEX(Ben_G!$A:$A,MATCH(N23,Ben_G!L:L,-1)+1)))))))))&amp;IF(N23="",""," pt(s)"))</f>
        <v/>
      </c>
      <c r="O24" s="54" t="str" cm="1">
        <f t="array" ref="O24">IF(AND($D23="",O23&lt;&gt;""),"Genre?",IF(O23="","",IF(O23="x",0,IF(O23="DSQ",1,IF(O23="ABD",1,IF(O23="NP",0,IF($D23="F",IF(O23&gt;Ben_F!M$2,Ben_F!$A$2,IF(COUNTIF(Ben_F!M:M,O23)=1,_xlfn.XLOOKUP(O23,Ben_F!M:M,Ben_F!$A:$A),INDEX(Ben_F!$A:$A,MATCH(O23,Ben_F!M:M,-1)+1))),IF(O23&gt;Ben_G!M$2,Ben_G!$A$2,IF(COUNTIF(Ben_G!M:M,O23)=1,_xlfn.XLOOKUP(O23,Ben_G!M:M,Ben_G!$A:$A),INDEX(Ben_G!$A:$A,MATCH(O23,Ben_G!M:M,-1)+1)))))))))&amp;IF(O23="",""," pt(s)"))</f>
        <v/>
      </c>
      <c r="P24" s="55" t="str" cm="1">
        <f t="array" ref="P24">IF(AND($D23="",P23&lt;&gt;""),"Genre?",IF(P23="","",IF(P23="x",0,IF(P23="DSQ",1,IF(P23="ABD",1,IF(P23="NP",0,IF($D23="F",IF(P23&gt;Ben_F!N$2,Ben_F!$A$2,IF(COUNTIF(Ben_F!N:N,P23)=1,_xlfn.XLOOKUP(P23,Ben_F!N:N,Ben_F!$A:$A),INDEX(Ben_F!$A:$A,MATCH(P23,Ben_F!N:N,-1)+1))),IF(P23&gt;Ben_G!N$2,Ben_G!$A$2,IF(COUNTIF(Ben_G!N:N,P23)=1,_xlfn.XLOOKUP(P23,Ben_G!N:N,Ben_G!$A:$A),INDEX(Ben_G!$A:$A,MATCH(P23,Ben_G!N:N,-1)+1)))))))))&amp;IF(P23="",""," pt(s)"))</f>
        <v/>
      </c>
      <c r="Q24" s="53" t="str" cm="1">
        <f t="array" ref="Q24">IF(AND($D23="",Q23&lt;&gt;""),"Genre?",IF(Q23="","",IF(Q23="x",0,IF(Q23="DSQ",1,IF(Q23="ABD",1,IF(Q23="NP",0,IF($D23="F",IF(Q23&gt;Ben_F!O$2,Ben_F!$A$2,IF(COUNTIF(Ben_F!O:O,Q23)=1,_xlfn.XLOOKUP(Q23,Ben_F!O:O,Ben_F!$A:$A),INDEX(Ben_F!$A:$A,MATCH(Q23,Ben_F!O:O,-1)+1))),IF(Q23&gt;Ben_G!O$2,Ben_G!$A$2,IF(COUNTIF(Ben_G!O:O,Q23)=1,_xlfn.XLOOKUP(Q23,Ben_G!O:O,Ben_G!$A:$A),INDEX(Ben_G!$A:$A,MATCH(Q23,Ben_G!O:O,-1)+1)))))))))&amp;IF(Q23="",""," pt(s)"))</f>
        <v/>
      </c>
      <c r="R24" s="53" t="str" cm="1">
        <f t="array" ref="R24">IF(AND($D23="",R23&lt;&gt;""),"Genre?",IF(R23="","",IF(R23="x",0,IF(R23="DSQ",1,IF(R23="ABD",1,IF(R23="NP",0,IF($D23="F",IF(R23&gt;Ben_F!P$2,Ben_F!$A$2,IF(COUNTIF(Ben_F!P:P,R23)=1,_xlfn.XLOOKUP(R23,Ben_F!P:P,Ben_F!$A:$A),INDEX(Ben_F!$A:$A,MATCH(R23,Ben_F!P:P,-1)+1))),IF(R23&gt;Ben_G!P$2,Ben_G!$A$2,IF(COUNTIF(Ben_G!P:P,R23)=1,_xlfn.XLOOKUP(R23,Ben_G!P:P,Ben_G!$A:$A),INDEX(Ben_G!$A:$A,MATCH(R23,Ben_G!P:P,-1)+1)))))))))&amp;IF(R23="",""," pt(s)"))</f>
        <v/>
      </c>
      <c r="S24" s="54" t="str" cm="1">
        <f t="array" ref="S24">IF(AND($D23="",S23&lt;&gt;""),"Genre?",IF(S23="","",IF(S23="x",0,IF(S23="DSQ",1,IF(S23="ABD",1,IF(S23="NP",0,IF($D23="F",IF(S23&gt;Ben_F!Q$2,Ben_F!$A$2,IF(COUNTIF(Ben_F!Q:Q,S23)=1,_xlfn.XLOOKUP(S23,Ben_F!Q:Q,Ben_F!$A:$A),INDEX(Ben_F!$A:$A,MATCH(S23,Ben_F!Q:Q,-1)+1))),IF(S23&gt;Ben_G!Q$2,Ben_G!$A$2,IF(COUNTIF(Ben_G!Q:Q,S23)=1,_xlfn.XLOOKUP(S23,Ben_G!Q:Q,Ben_G!$A:$A),INDEX(Ben_G!$A:$A,MATCH(S23,Ben_G!Q:Q,-1)+1)))))))))&amp;IF(S23="",""," pt(s)"))</f>
        <v/>
      </c>
      <c r="T24" s="133"/>
      <c r="U24" s="211"/>
      <c r="V24" s="126"/>
      <c r="W24" s="127"/>
      <c r="X24" s="80"/>
    </row>
    <row r="25" spans="1:24" ht="30" customHeight="1" thickTop="1" x14ac:dyDescent="0.3">
      <c r="A25" s="145">
        <v>2</v>
      </c>
      <c r="B25" s="148"/>
      <c r="C25" s="148"/>
      <c r="D25" s="150"/>
      <c r="E25" s="103" t="str">
        <f t="shared" si="0"/>
        <v/>
      </c>
      <c r="F25" s="105"/>
      <c r="G25" s="93"/>
      <c r="H25" s="92"/>
      <c r="I25" s="93"/>
      <c r="J25" s="92"/>
      <c r="K25" s="101"/>
      <c r="L25" s="44"/>
      <c r="M25" s="44"/>
      <c r="N25" s="44"/>
      <c r="O25" s="45"/>
      <c r="P25" s="46"/>
      <c r="Q25" s="44"/>
      <c r="R25" s="44"/>
      <c r="S25" s="45"/>
      <c r="T25" s="157"/>
      <c r="U25" s="211" t="str">
        <f t="shared" ref="U25" si="1">IF(T25="","",IF(E25="","",E25))</f>
        <v/>
      </c>
      <c r="V25" s="124" t="str">
        <f t="shared" ref="V25" si="2">IF(AND(E25="",COUNTA(F25:T25)&gt;0),"manque catégorie",IF(E25="","",IF(COUNTA(F25:T25)=0,"NON",IF(COUNTA(F25:S25)&gt;3,"NON",IF(COUNTA(F25:K25)&gt;1,"NON",IF(COUNTA(L25:O25)&gt;1,"NON",IF(COUNTA(P25:S25)&gt;1,"NON",IF(AND(COUNTA(T25)=1,COUNTA(F25:S25)=0),"NON","OUI"))))))))</f>
        <v/>
      </c>
      <c r="W25" s="125"/>
      <c r="X25" s="80" t="str">
        <f t="shared" ref="X25" si="3">IF(V25="","",IF(V25="manque catégorie","NON",IF(V25="NON","NON","OUI")))</f>
        <v/>
      </c>
    </row>
    <row r="26" spans="1:24" ht="30" customHeight="1" thickBot="1" x14ac:dyDescent="0.35">
      <c r="A26" s="146"/>
      <c r="B26" s="149"/>
      <c r="C26" s="149"/>
      <c r="D26" s="151"/>
      <c r="E26" s="104"/>
      <c r="F26" s="97" t="str" cm="1">
        <f t="array" ref="F26">IF(AND($D25="",F25&lt;&gt;""),"Genre?",IF(F25="","",IF(F25="x",0,IF(F25="DSQ",1,IF(F25="ABD",1,IF(F25="NP",0,IF($D25="F",IF(F25&lt;Ben_F!B$2,Ben_F!$A$2,IF(COUNTIF(Ben_F!B:B,F25)=1,_xlfn.XLOOKUP(F25,Ben_F!B:B,Ben_F!$A:$A),INDEX(Ben_F!$A:$A,MATCH(F25,Ben_F!B:B)+1))),IF(F25&lt;Ben_G!B$2,Ben_G!$A$2,IF(COUNTIF(Ben_G!B:B,F25)=1,_xlfn.XLOOKUP(F25,Ben_G!B:B,Ben_G!$A:$A),INDEX(Ben_G!$A:$A,MATCH(F25,Ben_G!B:B)+1)))))))))&amp;IF(F25="",""," pt(s)"))</f>
        <v/>
      </c>
      <c r="G26" s="91"/>
      <c r="H26" s="90" t="str" cm="1">
        <f t="array" ref="H26">IF(AND($D25="",H25&lt;&gt;""),"Genre?",IF(H25="","",IF(H25="x",0,IF(H25="DSQ",1,IF(H25="ABD",1,IF(H25="NP",0,IF($D25="F",IF(H25&lt;Ben_F!G$2,Ben_F!$A$2,IF(COUNTIF(Ben_F!G:G,H25)=1,_xlfn.XLOOKUP(H25,Ben_F!G:G,Ben_F!$A:$A),INDEX(Ben_F!$A:$A,MATCH(H25,Ben_F!G:G)+1))),IF(H25&lt;Ben_G!G$2,Ben_G!$A$2,IF(COUNTIF(Ben_G!G:G,H25)=1,_xlfn.XLOOKUP(H25,Ben_G!G:G,Ben_G!$A:$A),INDEX(Ben_G!$A:$A,MATCH(H25,Ben_G!G:G)+1)))))))))&amp;IF(H25="",""," pt(s)"))</f>
        <v/>
      </c>
      <c r="I26" s="91"/>
      <c r="J26" s="90" t="str" cm="1">
        <f t="array" ref="J26">IF(AND($D25="",J25&lt;&gt;""),"Genre?",IF(J25="","",IF(J25="x",0,IF(J25="DSQ",1,IF(J25="ABD",1,IF(J25="NP",0,IF($D25="F",IF(J25&lt;Ben_F!D$2,Ben_F!$A$2,IF(COUNTIF(Ben_F!D:D,J25)=1,_xlfn.XLOOKUP(J25,Ben_F!D:D,Ben_F!$A:$A),INDEX(Ben_F!$A:$A,MATCH(J25,Ben_F!D:D)+1))),IF(J25&lt;Ben_G!D$2,Ben_G!$A$2,IF(COUNTIF(Ben_G!D:D,J25)=1,_xlfn.XLOOKUP(J25,Ben_G!D:D,Ben_G!$A:$A),INDEX(Ben_G!$A:$A,MATCH(J25,Ben_G!D:D)+1)))))))))&amp;IF(J25="",""," pt(s)"))</f>
        <v/>
      </c>
      <c r="K26" s="100"/>
      <c r="L26" s="53" t="str" cm="1">
        <f t="array" ref="L26">IF(AND($D25="",L25&lt;&gt;""),"Genre?",IF(L25="","",IF(L25="x",0,IF(L25="DSQ",1,IF(L25="ABD",1,IF(L25="NP",0,IF($D25="F",IF(L25&gt;Ben_F!J$2,Ben_F!$A$2,IF(COUNTIF(Ben_F!J:J,L25)=1,_xlfn.XLOOKUP(L25,Ben_F!J:J,Ben_F!$A:$A),INDEX(Ben_F!$A:$A,MATCH(L25,Ben_F!J:J,-1)+1))),IF(L25&gt;Ben_G!J$2,Ben_G!$A$2,IF(COUNTIF(Ben_G!J:J,L25)=1,_xlfn.XLOOKUP(L25,Ben_G!J:J,Ben_G!$A:$A),INDEX(Ben_G!$A:$A,MATCH(L25,Ben_G!J:J,-1)+1)))))))))&amp;IF(L25="",""," pt(s)"))</f>
        <v/>
      </c>
      <c r="M26" s="53" t="str" cm="1">
        <f t="array" ref="M26">IF(AND($D25="",M25&lt;&gt;""),"Genre?",IF(M25="","",IF(M25="x",0,IF(M25="DSQ",1,IF(M25="ABD",1,IF(M25="NP",0,IF($D25="F",IF(M25&gt;Ben_F!K$2,Ben_F!$A$2,IF(COUNTIF(Ben_F!K:K,M25)=1,_xlfn.XLOOKUP(M25,Ben_F!K:K,Ben_F!$A:$A),INDEX(Ben_F!$A:$A,MATCH(M25,Ben_F!K:K,-1)+1))),IF(M25&gt;Ben_G!K$2,Ben_G!$A$2,IF(COUNTIF(Ben_G!K:K,M25)=1,_xlfn.XLOOKUP(M25,Ben_G!K:K,Ben_G!$A:$A),INDEX(Ben_G!$A:$A,MATCH(M25,Ben_G!K:K,-1)+1)))))))))&amp;IF(M25="",""," pt(s)"))</f>
        <v/>
      </c>
      <c r="N26" s="53" t="str" cm="1">
        <f t="array" ref="N26">IF(AND($D25="",N25&lt;&gt;""),"Genre?",IF(N25="","",IF(N25="x",0,IF(N25="DSQ",1,IF(N25="ABD",1,IF(N25="NP",0,IF($D25="F",IF(N25&gt;Ben_F!L$2,Ben_F!$A$2,IF(COUNTIF(Ben_F!L:L,N25)=1,_xlfn.XLOOKUP(N25,Ben_F!L:L,Ben_F!$A:$A),INDEX(Ben_F!$A:$A,MATCH(N25,Ben_F!L:L,-1)+1))),IF(N25&gt;Ben_G!L$2,Ben_G!$A$2,IF(COUNTIF(Ben_G!L:L,N25)=1,_xlfn.XLOOKUP(N25,Ben_G!L:L,Ben_G!$A:$A),INDEX(Ben_G!$A:$A,MATCH(N25,Ben_G!L:L,-1)+1)))))))))&amp;IF(N25="",""," pt(s)"))</f>
        <v/>
      </c>
      <c r="O26" s="54" t="str" cm="1">
        <f t="array" ref="O26">IF(AND($D25="",O25&lt;&gt;""),"Genre?",IF(O25="","",IF(O25="x",0,IF(O25="DSQ",1,IF(O25="ABD",1,IF(O25="NP",0,IF($D25="F",IF(O25&gt;Ben_F!M$2,Ben_F!$A$2,IF(COUNTIF(Ben_F!M:M,O25)=1,_xlfn.XLOOKUP(O25,Ben_F!M:M,Ben_F!$A:$A),INDEX(Ben_F!$A:$A,MATCH(O25,Ben_F!M:M,-1)+1))),IF(O25&gt;Ben_G!M$2,Ben_G!$A$2,IF(COUNTIF(Ben_G!M:M,O25)=1,_xlfn.XLOOKUP(O25,Ben_G!M:M,Ben_G!$A:$A),INDEX(Ben_G!$A:$A,MATCH(O25,Ben_G!M:M,-1)+1)))))))))&amp;IF(O25="",""," pt(s)"))</f>
        <v/>
      </c>
      <c r="P26" s="55" t="str" cm="1">
        <f t="array" ref="P26">IF(AND($D25="",P25&lt;&gt;""),"Genre?",IF(P25="","",IF(P25="x",0,IF(P25="DSQ",1,IF(P25="ABD",1,IF(P25="NP",0,IF($D25="F",IF(P25&gt;Ben_F!N$2,Ben_F!$A$2,IF(COUNTIF(Ben_F!N:N,P25)=1,_xlfn.XLOOKUP(P25,Ben_F!N:N,Ben_F!$A:$A),INDEX(Ben_F!$A:$A,MATCH(P25,Ben_F!N:N,-1)+1))),IF(P25&gt;Ben_G!N$2,Ben_G!$A$2,IF(COUNTIF(Ben_G!N:N,P25)=1,_xlfn.XLOOKUP(P25,Ben_G!N:N,Ben_G!$A:$A),INDEX(Ben_G!$A:$A,MATCH(P25,Ben_G!N:N,-1)+1)))))))))&amp;IF(P25="",""," pt(s)"))</f>
        <v/>
      </c>
      <c r="Q26" s="53" t="str" cm="1">
        <f t="array" ref="Q26">IF(AND($D25="",Q25&lt;&gt;""),"Genre?",IF(Q25="","",IF(Q25="x",0,IF(Q25="DSQ",1,IF(Q25="ABD",1,IF(Q25="NP",0,IF($D25="F",IF(Q25&gt;Ben_F!O$2,Ben_F!$A$2,IF(COUNTIF(Ben_F!O:O,Q25)=1,_xlfn.XLOOKUP(Q25,Ben_F!O:O,Ben_F!$A:$A),INDEX(Ben_F!$A:$A,MATCH(Q25,Ben_F!O:O,-1)+1))),IF(Q25&gt;Ben_G!O$2,Ben_G!$A$2,IF(COUNTIF(Ben_G!O:O,Q25)=1,_xlfn.XLOOKUP(Q25,Ben_G!O:O,Ben_G!$A:$A),INDEX(Ben_G!$A:$A,MATCH(Q25,Ben_G!O:O,-1)+1)))))))))&amp;IF(Q25="",""," pt(s)"))</f>
        <v/>
      </c>
      <c r="R26" s="53" t="str" cm="1">
        <f t="array" ref="R26">IF(AND($D25="",R25&lt;&gt;""),"Genre?",IF(R25="","",IF(R25="x",0,IF(R25="DSQ",1,IF(R25="ABD",1,IF(R25="NP",0,IF($D25="F",IF(R25&gt;Ben_F!P$2,Ben_F!$A$2,IF(COUNTIF(Ben_F!P:P,R25)=1,_xlfn.XLOOKUP(R25,Ben_F!P:P,Ben_F!$A:$A),INDEX(Ben_F!$A:$A,MATCH(R25,Ben_F!P:P,-1)+1))),IF(R25&gt;Ben_G!P$2,Ben_G!$A$2,IF(COUNTIF(Ben_G!P:P,R25)=1,_xlfn.XLOOKUP(R25,Ben_G!P:P,Ben_G!$A:$A),INDEX(Ben_G!$A:$A,MATCH(R25,Ben_G!P:P,-1)+1)))))))))&amp;IF(R25="",""," pt(s)"))</f>
        <v/>
      </c>
      <c r="S26" s="54" t="str" cm="1">
        <f t="array" ref="S26">IF(AND($D25="",S25&lt;&gt;""),"Genre?",IF(S25="","",IF(S25="x",0,IF(S25="DSQ",1,IF(S25="ABD",1,IF(S25="NP",0,IF($D25="F",IF(S25&gt;Ben_F!Q$2,Ben_F!$A$2,IF(COUNTIF(Ben_F!Q:Q,S25)=1,_xlfn.XLOOKUP(S25,Ben_F!Q:Q,Ben_F!$A:$A),INDEX(Ben_F!$A:$A,MATCH(S25,Ben_F!Q:Q,-1)+1))),IF(S25&gt;Ben_G!Q$2,Ben_G!$A$2,IF(COUNTIF(Ben_G!Q:Q,S25)=1,_xlfn.XLOOKUP(S25,Ben_G!Q:Q,Ben_G!$A:$A),INDEX(Ben_G!$A:$A,MATCH(S25,Ben_G!Q:Q,-1)+1)))))))))&amp;IF(S25="",""," pt(s)"))</f>
        <v/>
      </c>
      <c r="T26" s="158"/>
      <c r="U26" s="211"/>
      <c r="V26" s="126"/>
      <c r="W26" s="127"/>
      <c r="X26" s="80"/>
    </row>
    <row r="27" spans="1:24" ht="30" customHeight="1" thickTop="1" x14ac:dyDescent="0.3">
      <c r="A27" s="141">
        <v>3</v>
      </c>
      <c r="B27" s="143"/>
      <c r="C27" s="143"/>
      <c r="D27" s="152"/>
      <c r="E27" s="103" t="str">
        <f t="shared" ref="E27" si="4">IF(D27="","",IF(D27="F","BF","BG"))</f>
        <v/>
      </c>
      <c r="F27" s="98"/>
      <c r="G27" s="89"/>
      <c r="H27" s="88"/>
      <c r="I27" s="89"/>
      <c r="J27" s="88"/>
      <c r="K27" s="99"/>
      <c r="L27" s="40"/>
      <c r="M27" s="40"/>
      <c r="N27" s="40"/>
      <c r="O27" s="41"/>
      <c r="P27" s="42"/>
      <c r="Q27" s="40"/>
      <c r="R27" s="40"/>
      <c r="S27" s="41"/>
      <c r="T27" s="132"/>
      <c r="U27" s="211" t="str">
        <f t="shared" ref="U27" si="5">IF(T27="","",IF(E27="","",E27))</f>
        <v/>
      </c>
      <c r="V27" s="124" t="str">
        <f t="shared" ref="V27" si="6">IF(AND(E27="",COUNTA(F27:T27)&gt;0),"manque catégorie",IF(E27="","",IF(COUNTA(F27:T27)=0,"NON",IF(COUNTA(F27:S27)&gt;3,"NON",IF(COUNTA(F27:K27)&gt;1,"NON",IF(COUNTA(L27:O27)&gt;1,"NON",IF(COUNTA(P27:S27)&gt;1,"NON",IF(AND(COUNTA(T27)=1,COUNTA(F27:S27)=0),"NON","OUI"))))))))</f>
        <v/>
      </c>
      <c r="W27" s="125"/>
      <c r="X27" s="80" t="str">
        <f t="shared" ref="X27" si="7">IF(V27="","",IF(V27="manque catégorie","NON",IF(V27="NON","NON","OUI")))</f>
        <v/>
      </c>
    </row>
    <row r="28" spans="1:24" ht="30" customHeight="1" thickBot="1" x14ac:dyDescent="0.35">
      <c r="A28" s="142"/>
      <c r="B28" s="144"/>
      <c r="C28" s="144"/>
      <c r="D28" s="153"/>
      <c r="E28" s="104"/>
      <c r="F28" s="97" t="str" cm="1">
        <f t="array" ref="F28">IF(AND($D27="",F27&lt;&gt;""),"Genre?",IF(F27="","",IF(F27="x",0,IF(F27="DSQ",1,IF(F27="ABD",1,IF(F27="NP",0,IF($D27="F",IF(F27&lt;Ben_F!B$2,Ben_F!$A$2,IF(COUNTIF(Ben_F!B:B,F27)=1,_xlfn.XLOOKUP(F27,Ben_F!B:B,Ben_F!$A:$A),INDEX(Ben_F!$A:$A,MATCH(F27,Ben_F!B:B)+1))),IF(F27&lt;Ben_G!B$2,Ben_G!$A$2,IF(COUNTIF(Ben_G!B:B,F27)=1,_xlfn.XLOOKUP(F27,Ben_G!B:B,Ben_G!$A:$A),INDEX(Ben_G!$A:$A,MATCH(F27,Ben_G!B:B)+1)))))))))&amp;IF(F27="",""," pt(s)"))</f>
        <v/>
      </c>
      <c r="G28" s="91"/>
      <c r="H28" s="90" t="str" cm="1">
        <f t="array" ref="H28">IF(AND($D27="",H27&lt;&gt;""),"Genre?",IF(H27="","",IF(H27="x",0,IF(H27="DSQ",1,IF(H27="ABD",1,IF(H27="NP",0,IF($D27="F",IF(H27&lt;Ben_F!G$2,Ben_F!$A$2,IF(COUNTIF(Ben_F!G:G,H27)=1,_xlfn.XLOOKUP(H27,Ben_F!G:G,Ben_F!$A:$A),INDEX(Ben_F!$A:$A,MATCH(H27,Ben_F!G:G)+1))),IF(H27&lt;Ben_G!G$2,Ben_G!$A$2,IF(COUNTIF(Ben_G!G:G,H27)=1,_xlfn.XLOOKUP(H27,Ben_G!G:G,Ben_G!$A:$A),INDEX(Ben_G!$A:$A,MATCH(H27,Ben_G!G:G)+1)))))))))&amp;IF(H27="",""," pt(s)"))</f>
        <v/>
      </c>
      <c r="I28" s="91"/>
      <c r="J28" s="90" t="str" cm="1">
        <f t="array" ref="J28">IF(AND($D27="",J27&lt;&gt;""),"Genre?",IF(J27="","",IF(J27="x",0,IF(J27="DSQ",1,IF(J27="ABD",1,IF(J27="NP",0,IF($D27="F",IF(J27&lt;Ben_F!D$2,Ben_F!$A$2,IF(COUNTIF(Ben_F!D:D,J27)=1,_xlfn.XLOOKUP(J27,Ben_F!D:D,Ben_F!$A:$A),INDEX(Ben_F!$A:$A,MATCH(J27,Ben_F!D:D)+1))),IF(J27&lt;Ben_G!D$2,Ben_G!$A$2,IF(COUNTIF(Ben_G!D:D,J27)=1,_xlfn.XLOOKUP(J27,Ben_G!D:D,Ben_G!$A:$A),INDEX(Ben_G!$A:$A,MATCH(J27,Ben_G!D:D)+1)))))))))&amp;IF(J27="",""," pt(s)"))</f>
        <v/>
      </c>
      <c r="K28" s="100"/>
      <c r="L28" s="53" t="str" cm="1">
        <f t="array" ref="L28">IF(AND($D27="",L27&lt;&gt;""),"Genre?",IF(L27="","",IF(L27="x",0,IF(L27="DSQ",1,IF(L27="ABD",1,IF(L27="NP",0,IF($D27="F",IF(L27&gt;Ben_F!J$2,Ben_F!$A$2,IF(COUNTIF(Ben_F!J:J,L27)=1,_xlfn.XLOOKUP(L27,Ben_F!J:J,Ben_F!$A:$A),INDEX(Ben_F!$A:$A,MATCH(L27,Ben_F!J:J,-1)+1))),IF(L27&gt;Ben_G!J$2,Ben_G!$A$2,IF(COUNTIF(Ben_G!J:J,L27)=1,_xlfn.XLOOKUP(L27,Ben_G!J:J,Ben_G!$A:$A),INDEX(Ben_G!$A:$A,MATCH(L27,Ben_G!J:J,-1)+1)))))))))&amp;IF(L27="",""," pt(s)"))</f>
        <v/>
      </c>
      <c r="M28" s="53" t="str" cm="1">
        <f t="array" ref="M28">IF(AND($D27="",M27&lt;&gt;""),"Genre?",IF(M27="","",IF(M27="x",0,IF(M27="DSQ",1,IF(M27="ABD",1,IF(M27="NP",0,IF($D27="F",IF(M27&gt;Ben_F!K$2,Ben_F!$A$2,IF(COUNTIF(Ben_F!K:K,M27)=1,_xlfn.XLOOKUP(M27,Ben_F!K:K,Ben_F!$A:$A),INDEX(Ben_F!$A:$A,MATCH(M27,Ben_F!K:K,-1)+1))),IF(M27&gt;Ben_G!K$2,Ben_G!$A$2,IF(COUNTIF(Ben_G!K:K,M27)=1,_xlfn.XLOOKUP(M27,Ben_G!K:K,Ben_G!$A:$A),INDEX(Ben_G!$A:$A,MATCH(M27,Ben_G!K:K,-1)+1)))))))))&amp;IF(M27="",""," pt(s)"))</f>
        <v/>
      </c>
      <c r="N28" s="53" t="str" cm="1">
        <f t="array" ref="N28">IF(AND($D27="",N27&lt;&gt;""),"Genre?",IF(N27="","",IF(N27="x",0,IF(N27="DSQ",1,IF(N27="ABD",1,IF(N27="NP",0,IF($D27="F",IF(N27&gt;Ben_F!L$2,Ben_F!$A$2,IF(COUNTIF(Ben_F!L:L,N27)=1,_xlfn.XLOOKUP(N27,Ben_F!L:L,Ben_F!$A:$A),INDEX(Ben_F!$A:$A,MATCH(N27,Ben_F!L:L,-1)+1))),IF(N27&gt;Ben_G!L$2,Ben_G!$A$2,IF(COUNTIF(Ben_G!L:L,N27)=1,_xlfn.XLOOKUP(N27,Ben_G!L:L,Ben_G!$A:$A),INDEX(Ben_G!$A:$A,MATCH(N27,Ben_G!L:L,-1)+1)))))))))&amp;IF(N27="",""," pt(s)"))</f>
        <v/>
      </c>
      <c r="O28" s="54" t="str" cm="1">
        <f t="array" ref="O28">IF(AND($D27="",O27&lt;&gt;""),"Genre?",IF(O27="","",IF(O27="x",0,IF(O27="DSQ",1,IF(O27="ABD",1,IF(O27="NP",0,IF($D27="F",IF(O27&gt;Ben_F!M$2,Ben_F!$A$2,IF(COUNTIF(Ben_F!M:M,O27)=1,_xlfn.XLOOKUP(O27,Ben_F!M:M,Ben_F!$A:$A),INDEX(Ben_F!$A:$A,MATCH(O27,Ben_F!M:M,-1)+1))),IF(O27&gt;Ben_G!M$2,Ben_G!$A$2,IF(COUNTIF(Ben_G!M:M,O27)=1,_xlfn.XLOOKUP(O27,Ben_G!M:M,Ben_G!$A:$A),INDEX(Ben_G!$A:$A,MATCH(O27,Ben_G!M:M,-1)+1)))))))))&amp;IF(O27="",""," pt(s)"))</f>
        <v/>
      </c>
      <c r="P28" s="55" t="str" cm="1">
        <f t="array" ref="P28">IF(AND($D27="",P27&lt;&gt;""),"Genre?",IF(P27="","",IF(P27="x",0,IF(P27="DSQ",1,IF(P27="ABD",1,IF(P27="NP",0,IF($D27="F",IF(P27&gt;Ben_F!N$2,Ben_F!$A$2,IF(COUNTIF(Ben_F!N:N,P27)=1,_xlfn.XLOOKUP(P27,Ben_F!N:N,Ben_F!$A:$A),INDEX(Ben_F!$A:$A,MATCH(P27,Ben_F!N:N,-1)+1))),IF(P27&gt;Ben_G!N$2,Ben_G!$A$2,IF(COUNTIF(Ben_G!N:N,P27)=1,_xlfn.XLOOKUP(P27,Ben_G!N:N,Ben_G!$A:$A),INDEX(Ben_G!$A:$A,MATCH(P27,Ben_G!N:N,-1)+1)))))))))&amp;IF(P27="",""," pt(s)"))</f>
        <v/>
      </c>
      <c r="Q28" s="53" t="str" cm="1">
        <f t="array" ref="Q28">IF(AND($D27="",Q27&lt;&gt;""),"Genre?",IF(Q27="","",IF(Q27="x",0,IF(Q27="DSQ",1,IF(Q27="ABD",1,IF(Q27="NP",0,IF($D27="F",IF(Q27&gt;Ben_F!O$2,Ben_F!$A$2,IF(COUNTIF(Ben_F!O:O,Q27)=1,_xlfn.XLOOKUP(Q27,Ben_F!O:O,Ben_F!$A:$A),INDEX(Ben_F!$A:$A,MATCH(Q27,Ben_F!O:O,-1)+1))),IF(Q27&gt;Ben_G!O$2,Ben_G!$A$2,IF(COUNTIF(Ben_G!O:O,Q27)=1,_xlfn.XLOOKUP(Q27,Ben_G!O:O,Ben_G!$A:$A),INDEX(Ben_G!$A:$A,MATCH(Q27,Ben_G!O:O,-1)+1)))))))))&amp;IF(Q27="",""," pt(s)"))</f>
        <v/>
      </c>
      <c r="R28" s="53" t="str" cm="1">
        <f t="array" ref="R28">IF(AND($D27="",R27&lt;&gt;""),"Genre?",IF(R27="","",IF(R27="x",0,IF(R27="DSQ",1,IF(R27="ABD",1,IF(R27="NP",0,IF($D27="F",IF(R27&gt;Ben_F!P$2,Ben_F!$A$2,IF(COUNTIF(Ben_F!P:P,R27)=1,_xlfn.XLOOKUP(R27,Ben_F!P:P,Ben_F!$A:$A),INDEX(Ben_F!$A:$A,MATCH(R27,Ben_F!P:P,-1)+1))),IF(R27&gt;Ben_G!P$2,Ben_G!$A$2,IF(COUNTIF(Ben_G!P:P,R27)=1,_xlfn.XLOOKUP(R27,Ben_G!P:P,Ben_G!$A:$A),INDEX(Ben_G!$A:$A,MATCH(R27,Ben_G!P:P,-1)+1)))))))))&amp;IF(R27="",""," pt(s)"))</f>
        <v/>
      </c>
      <c r="S28" s="54" t="str" cm="1">
        <f t="array" ref="S28">IF(AND($D27="",S27&lt;&gt;""),"Genre?",IF(S27="","",IF(S27="x",0,IF(S27="DSQ",1,IF(S27="ABD",1,IF(S27="NP",0,IF($D27="F",IF(S27&gt;Ben_F!Q$2,Ben_F!$A$2,IF(COUNTIF(Ben_F!Q:Q,S27)=1,_xlfn.XLOOKUP(S27,Ben_F!Q:Q,Ben_F!$A:$A),INDEX(Ben_F!$A:$A,MATCH(S27,Ben_F!Q:Q,-1)+1))),IF(S27&gt;Ben_G!Q$2,Ben_G!$A$2,IF(COUNTIF(Ben_G!Q:Q,S27)=1,_xlfn.XLOOKUP(S27,Ben_G!Q:Q,Ben_G!$A:$A),INDEX(Ben_G!$A:$A,MATCH(S27,Ben_G!Q:Q,-1)+1)))))))))&amp;IF(S27="",""," pt(s)"))</f>
        <v/>
      </c>
      <c r="T28" s="133"/>
      <c r="U28" s="211"/>
      <c r="V28" s="126"/>
      <c r="W28" s="127"/>
      <c r="X28" s="80"/>
    </row>
    <row r="29" spans="1:24" ht="30" customHeight="1" thickTop="1" x14ac:dyDescent="0.3">
      <c r="A29" s="203">
        <v>4</v>
      </c>
      <c r="B29" s="205"/>
      <c r="C29" s="205"/>
      <c r="D29" s="150"/>
      <c r="E29" s="103" t="str">
        <f t="shared" ref="E29" si="8">IF(D29="","",IF(D29="F","BF","BG"))</f>
        <v/>
      </c>
      <c r="F29" s="105"/>
      <c r="G29" s="93"/>
      <c r="H29" s="92"/>
      <c r="I29" s="93"/>
      <c r="J29" s="92"/>
      <c r="K29" s="101"/>
      <c r="L29" s="44"/>
      <c r="M29" s="44"/>
      <c r="N29" s="44"/>
      <c r="O29" s="45"/>
      <c r="P29" s="46"/>
      <c r="Q29" s="44"/>
      <c r="R29" s="44"/>
      <c r="S29" s="45"/>
      <c r="T29" s="157"/>
      <c r="U29" s="211" t="str">
        <f t="shared" ref="U29" si="9">IF(T29="","",IF(E29="","",E29))</f>
        <v/>
      </c>
      <c r="V29" s="124" t="str">
        <f t="shared" ref="V29" si="10">IF(AND(E29="",COUNTA(F29:T29)&gt;0),"manque catégorie",IF(E29="","",IF(COUNTA(F29:T29)=0,"NON",IF(COUNTA(F29:S29)&gt;3,"NON",IF(COUNTA(F29:K29)&gt;1,"NON",IF(COUNTA(L29:O29)&gt;1,"NON",IF(COUNTA(P29:S29)&gt;1,"NON",IF(AND(COUNTA(T29)=1,COUNTA(F29:S29)=0),"NON","OUI"))))))))</f>
        <v/>
      </c>
      <c r="W29" s="125"/>
      <c r="X29" s="80" t="str">
        <f t="shared" ref="X29" si="11">IF(V29="","",IF(V29="manque catégorie","NON",IF(V29="NON","NON","OUI")))</f>
        <v/>
      </c>
    </row>
    <row r="30" spans="1:24" ht="30" customHeight="1" thickBot="1" x14ac:dyDescent="0.35">
      <c r="A30" s="204"/>
      <c r="B30" s="206"/>
      <c r="C30" s="206"/>
      <c r="D30" s="151"/>
      <c r="E30" s="104"/>
      <c r="F30" s="97" t="str" cm="1">
        <f t="array" ref="F30">IF(AND($D29="",F29&lt;&gt;""),"Genre?",IF(F29="","",IF(F29="x",0,IF(F29="DSQ",1,IF(F29="ABD",1,IF(F29="NP",0,IF($D29="F",IF(F29&lt;Ben_F!B$2,Ben_F!$A$2,IF(COUNTIF(Ben_F!B:B,F29)=1,_xlfn.XLOOKUP(F29,Ben_F!B:B,Ben_F!$A:$A),INDEX(Ben_F!$A:$A,MATCH(F29,Ben_F!B:B)+1))),IF(F29&lt;Ben_G!B$2,Ben_G!$A$2,IF(COUNTIF(Ben_G!B:B,F29)=1,_xlfn.XLOOKUP(F29,Ben_G!B:B,Ben_G!$A:$A),INDEX(Ben_G!$A:$A,MATCH(F29,Ben_G!B:B)+1)))))))))&amp;IF(F29="",""," pt(s)"))</f>
        <v/>
      </c>
      <c r="G30" s="91"/>
      <c r="H30" s="90" t="str" cm="1">
        <f t="array" ref="H30">IF(AND($D29="",H29&lt;&gt;""),"Genre?",IF(H29="","",IF(H29="x",0,IF(H29="DSQ",1,IF(H29="ABD",1,IF(H29="NP",0,IF($D29="F",IF(H29&lt;Ben_F!G$2,Ben_F!$A$2,IF(COUNTIF(Ben_F!G:G,H29)=1,_xlfn.XLOOKUP(H29,Ben_F!G:G,Ben_F!$A:$A),INDEX(Ben_F!$A:$A,MATCH(H29,Ben_F!G:G)+1))),IF(H29&lt;Ben_G!G$2,Ben_G!$A$2,IF(COUNTIF(Ben_G!G:G,H29)=1,_xlfn.XLOOKUP(H29,Ben_G!G:G,Ben_G!$A:$A),INDEX(Ben_G!$A:$A,MATCH(H29,Ben_G!G:G)+1)))))))))&amp;IF(H29="",""," pt(s)"))</f>
        <v/>
      </c>
      <c r="I30" s="91"/>
      <c r="J30" s="90" t="str" cm="1">
        <f t="array" ref="J30">IF(AND($D29="",J29&lt;&gt;""),"Genre?",IF(J29="","",IF(J29="x",0,IF(J29="DSQ",1,IF(J29="ABD",1,IF(J29="NP",0,IF($D29="F",IF(J29&lt;Ben_F!D$2,Ben_F!$A$2,IF(COUNTIF(Ben_F!D:D,J29)=1,_xlfn.XLOOKUP(J29,Ben_F!D:D,Ben_F!$A:$A),INDEX(Ben_F!$A:$A,MATCH(J29,Ben_F!D:D)+1))),IF(J29&lt;Ben_G!D$2,Ben_G!$A$2,IF(COUNTIF(Ben_G!D:D,J29)=1,_xlfn.XLOOKUP(J29,Ben_G!D:D,Ben_G!$A:$A),INDEX(Ben_G!$A:$A,MATCH(J29,Ben_G!D:D)+1)))))))))&amp;IF(J29="",""," pt(s)"))</f>
        <v/>
      </c>
      <c r="K30" s="100"/>
      <c r="L30" s="53" t="str" cm="1">
        <f t="array" ref="L30">IF(AND($D29="",L29&lt;&gt;""),"Genre?",IF(L29="","",IF(L29="x",0,IF(L29="DSQ",1,IF(L29="ABD",1,IF(L29="NP",0,IF($D29="F",IF(L29&gt;Ben_F!J$2,Ben_F!$A$2,IF(COUNTIF(Ben_F!J:J,L29)=1,_xlfn.XLOOKUP(L29,Ben_F!J:J,Ben_F!$A:$A),INDEX(Ben_F!$A:$A,MATCH(L29,Ben_F!J:J,-1)+1))),IF(L29&gt;Ben_G!J$2,Ben_G!$A$2,IF(COUNTIF(Ben_G!J:J,L29)=1,_xlfn.XLOOKUP(L29,Ben_G!J:J,Ben_G!$A:$A),INDEX(Ben_G!$A:$A,MATCH(L29,Ben_G!J:J,-1)+1)))))))))&amp;IF(L29="",""," pt(s)"))</f>
        <v/>
      </c>
      <c r="M30" s="53" t="str" cm="1">
        <f t="array" ref="M30">IF(AND($D29="",M29&lt;&gt;""),"Genre?",IF(M29="","",IF(M29="x",0,IF(M29="DSQ",1,IF(M29="ABD",1,IF(M29="NP",0,IF($D29="F",IF(M29&gt;Ben_F!K$2,Ben_F!$A$2,IF(COUNTIF(Ben_F!K:K,M29)=1,_xlfn.XLOOKUP(M29,Ben_F!K:K,Ben_F!$A:$A),INDEX(Ben_F!$A:$A,MATCH(M29,Ben_F!K:K,-1)+1))),IF(M29&gt;Ben_G!K$2,Ben_G!$A$2,IF(COUNTIF(Ben_G!K:K,M29)=1,_xlfn.XLOOKUP(M29,Ben_G!K:K,Ben_G!$A:$A),INDEX(Ben_G!$A:$A,MATCH(M29,Ben_G!K:K,-1)+1)))))))))&amp;IF(M29="",""," pt(s)"))</f>
        <v/>
      </c>
      <c r="N30" s="53" t="str" cm="1">
        <f t="array" ref="N30">IF(AND($D29="",N29&lt;&gt;""),"Genre?",IF(N29="","",IF(N29="x",0,IF(N29="DSQ",1,IF(N29="ABD",1,IF(N29="NP",0,IF($D29="F",IF(N29&gt;Ben_F!L$2,Ben_F!$A$2,IF(COUNTIF(Ben_F!L:L,N29)=1,_xlfn.XLOOKUP(N29,Ben_F!L:L,Ben_F!$A:$A),INDEX(Ben_F!$A:$A,MATCH(N29,Ben_F!L:L,-1)+1))),IF(N29&gt;Ben_G!L$2,Ben_G!$A$2,IF(COUNTIF(Ben_G!L:L,N29)=1,_xlfn.XLOOKUP(N29,Ben_G!L:L,Ben_G!$A:$A),INDEX(Ben_G!$A:$A,MATCH(N29,Ben_G!L:L,-1)+1)))))))))&amp;IF(N29="",""," pt(s)"))</f>
        <v/>
      </c>
      <c r="O30" s="54" t="str" cm="1">
        <f t="array" ref="O30">IF(AND($D29="",O29&lt;&gt;""),"Genre?",IF(O29="","",IF(O29="x",0,IF(O29="DSQ",1,IF(O29="ABD",1,IF(O29="NP",0,IF($D29="F",IF(O29&gt;Ben_F!M$2,Ben_F!$A$2,IF(COUNTIF(Ben_F!M:M,O29)=1,_xlfn.XLOOKUP(O29,Ben_F!M:M,Ben_F!$A:$A),INDEX(Ben_F!$A:$A,MATCH(O29,Ben_F!M:M,-1)+1))),IF(O29&gt;Ben_G!M$2,Ben_G!$A$2,IF(COUNTIF(Ben_G!M:M,O29)=1,_xlfn.XLOOKUP(O29,Ben_G!M:M,Ben_G!$A:$A),INDEX(Ben_G!$A:$A,MATCH(O29,Ben_G!M:M,-1)+1)))))))))&amp;IF(O29="",""," pt(s)"))</f>
        <v/>
      </c>
      <c r="P30" s="55" t="str" cm="1">
        <f t="array" ref="P30">IF(AND($D29="",P29&lt;&gt;""),"Genre?",IF(P29="","",IF(P29="x",0,IF(P29="DSQ",1,IF(P29="ABD",1,IF(P29="NP",0,IF($D29="F",IF(P29&gt;Ben_F!N$2,Ben_F!$A$2,IF(COUNTIF(Ben_F!N:N,P29)=1,_xlfn.XLOOKUP(P29,Ben_F!N:N,Ben_F!$A:$A),INDEX(Ben_F!$A:$A,MATCH(P29,Ben_F!N:N,-1)+1))),IF(P29&gt;Ben_G!N$2,Ben_G!$A$2,IF(COUNTIF(Ben_G!N:N,P29)=1,_xlfn.XLOOKUP(P29,Ben_G!N:N,Ben_G!$A:$A),INDEX(Ben_G!$A:$A,MATCH(P29,Ben_G!N:N,-1)+1)))))))))&amp;IF(P29="",""," pt(s)"))</f>
        <v/>
      </c>
      <c r="Q30" s="53" t="str" cm="1">
        <f t="array" ref="Q30">IF(AND($D29="",Q29&lt;&gt;""),"Genre?",IF(Q29="","",IF(Q29="x",0,IF(Q29="DSQ",1,IF(Q29="ABD",1,IF(Q29="NP",0,IF($D29="F",IF(Q29&gt;Ben_F!O$2,Ben_F!$A$2,IF(COUNTIF(Ben_F!O:O,Q29)=1,_xlfn.XLOOKUP(Q29,Ben_F!O:O,Ben_F!$A:$A),INDEX(Ben_F!$A:$A,MATCH(Q29,Ben_F!O:O,-1)+1))),IF(Q29&gt;Ben_G!O$2,Ben_G!$A$2,IF(COUNTIF(Ben_G!O:O,Q29)=1,_xlfn.XLOOKUP(Q29,Ben_G!O:O,Ben_G!$A:$A),INDEX(Ben_G!$A:$A,MATCH(Q29,Ben_G!O:O,-1)+1)))))))))&amp;IF(Q29="",""," pt(s)"))</f>
        <v/>
      </c>
      <c r="R30" s="53" t="str" cm="1">
        <f t="array" ref="R30">IF(AND($D29="",R29&lt;&gt;""),"Genre?",IF(R29="","",IF(R29="x",0,IF(R29="DSQ",1,IF(R29="ABD",1,IF(R29="NP",0,IF($D29="F",IF(R29&gt;Ben_F!P$2,Ben_F!$A$2,IF(COUNTIF(Ben_F!P:P,R29)=1,_xlfn.XLOOKUP(R29,Ben_F!P:P,Ben_F!$A:$A),INDEX(Ben_F!$A:$A,MATCH(R29,Ben_F!P:P,-1)+1))),IF(R29&gt;Ben_G!P$2,Ben_G!$A$2,IF(COUNTIF(Ben_G!P:P,R29)=1,_xlfn.XLOOKUP(R29,Ben_G!P:P,Ben_G!$A:$A),INDEX(Ben_G!$A:$A,MATCH(R29,Ben_G!P:P,-1)+1)))))))))&amp;IF(R29="",""," pt(s)"))</f>
        <v/>
      </c>
      <c r="S30" s="54" t="str" cm="1">
        <f t="array" ref="S30">IF(AND($D29="",S29&lt;&gt;""),"Genre?",IF(S29="","",IF(S29="x",0,IF(S29="DSQ",1,IF(S29="ABD",1,IF(S29="NP",0,IF($D29="F",IF(S29&gt;Ben_F!Q$2,Ben_F!$A$2,IF(COUNTIF(Ben_F!Q:Q,S29)=1,_xlfn.XLOOKUP(S29,Ben_F!Q:Q,Ben_F!$A:$A),INDEX(Ben_F!$A:$A,MATCH(S29,Ben_F!Q:Q,-1)+1))),IF(S29&gt;Ben_G!Q$2,Ben_G!$A$2,IF(COUNTIF(Ben_G!Q:Q,S29)=1,_xlfn.XLOOKUP(S29,Ben_G!Q:Q,Ben_G!$A:$A),INDEX(Ben_G!$A:$A,MATCH(S29,Ben_G!Q:Q,-1)+1)))))))))&amp;IF(S29="",""," pt(s)"))</f>
        <v/>
      </c>
      <c r="T30" s="158"/>
      <c r="U30" s="211"/>
      <c r="V30" s="126"/>
      <c r="W30" s="127"/>
      <c r="X30" s="80"/>
    </row>
    <row r="31" spans="1:24" ht="30" customHeight="1" thickTop="1" x14ac:dyDescent="0.3">
      <c r="A31" s="141">
        <v>5</v>
      </c>
      <c r="B31" s="143"/>
      <c r="C31" s="143"/>
      <c r="D31" s="152"/>
      <c r="E31" s="103" t="str">
        <f t="shared" ref="E31" si="12">IF(D31="","",IF(D31="F","BF","BG"))</f>
        <v/>
      </c>
      <c r="F31" s="98"/>
      <c r="G31" s="89"/>
      <c r="H31" s="88"/>
      <c r="I31" s="89"/>
      <c r="J31" s="88"/>
      <c r="K31" s="99"/>
      <c r="L31" s="40"/>
      <c r="M31" s="40"/>
      <c r="N31" s="40"/>
      <c r="O31" s="41"/>
      <c r="P31" s="42"/>
      <c r="Q31" s="40"/>
      <c r="R31" s="40"/>
      <c r="S31" s="41"/>
      <c r="T31" s="132"/>
      <c r="U31" s="211" t="str">
        <f t="shared" ref="U31" si="13">IF(T31="","",IF(E31="","",E31))</f>
        <v/>
      </c>
      <c r="V31" s="124" t="str">
        <f t="shared" ref="V31" si="14">IF(AND(E31="",COUNTA(F31:T31)&gt;0),"manque catégorie",IF(E31="","",IF(COUNTA(F31:T31)=0,"NON",IF(COUNTA(F31:S31)&gt;3,"NON",IF(COUNTA(F31:K31)&gt;1,"NON",IF(COUNTA(L31:O31)&gt;1,"NON",IF(COUNTA(P31:S31)&gt;1,"NON",IF(AND(COUNTA(T31)=1,COUNTA(F31:S31)=0),"NON","OUI"))))))))</f>
        <v/>
      </c>
      <c r="W31" s="125"/>
      <c r="X31" s="80" t="str">
        <f t="shared" ref="X31" si="15">IF(V31="","",IF(V31="manque catégorie","NON",IF(V31="NON","NON","OUI")))</f>
        <v/>
      </c>
    </row>
    <row r="32" spans="1:24" ht="30" customHeight="1" thickBot="1" x14ac:dyDescent="0.35">
      <c r="A32" s="142"/>
      <c r="B32" s="144"/>
      <c r="C32" s="144"/>
      <c r="D32" s="153"/>
      <c r="E32" s="104"/>
      <c r="F32" s="97" t="str" cm="1">
        <f t="array" ref="F32">IF(AND($D31="",F31&lt;&gt;""),"Genre?",IF(F31="","",IF(F31="x",0,IF(F31="DSQ",1,IF(F31="ABD",1,IF(F31="NP",0,IF($D31="F",IF(F31&lt;Ben_F!B$2,Ben_F!$A$2,IF(COUNTIF(Ben_F!B:B,F31)=1,_xlfn.XLOOKUP(F31,Ben_F!B:B,Ben_F!$A:$A),INDEX(Ben_F!$A:$A,MATCH(F31,Ben_F!B:B)+1))),IF(F31&lt;Ben_G!B$2,Ben_G!$A$2,IF(COUNTIF(Ben_G!B:B,F31)=1,_xlfn.XLOOKUP(F31,Ben_G!B:B,Ben_G!$A:$A),INDEX(Ben_G!$A:$A,MATCH(F31,Ben_G!B:B)+1)))))))))&amp;IF(F31="",""," pt(s)"))</f>
        <v/>
      </c>
      <c r="G32" s="91"/>
      <c r="H32" s="90" t="str" cm="1">
        <f t="array" ref="H32">IF(AND($D31="",H31&lt;&gt;""),"Genre?",IF(H31="","",IF(H31="x",0,IF(H31="DSQ",1,IF(H31="ABD",1,IF(H31="NP",0,IF($D31="F",IF(H31&lt;Ben_F!G$2,Ben_F!$A$2,IF(COUNTIF(Ben_F!G:G,H31)=1,_xlfn.XLOOKUP(H31,Ben_F!G:G,Ben_F!$A:$A),INDEX(Ben_F!$A:$A,MATCH(H31,Ben_F!G:G)+1))),IF(H31&lt;Ben_G!G$2,Ben_G!$A$2,IF(COUNTIF(Ben_G!G:G,H31)=1,_xlfn.XLOOKUP(H31,Ben_G!G:G,Ben_G!$A:$A),INDEX(Ben_G!$A:$A,MATCH(H31,Ben_G!G:G)+1)))))))))&amp;IF(H31="",""," pt(s)"))</f>
        <v/>
      </c>
      <c r="I32" s="91"/>
      <c r="J32" s="90" t="str" cm="1">
        <f t="array" ref="J32">IF(AND($D31="",J31&lt;&gt;""),"Genre?",IF(J31="","",IF(J31="x",0,IF(J31="DSQ",1,IF(J31="ABD",1,IF(J31="NP",0,IF($D31="F",IF(J31&lt;Ben_F!D$2,Ben_F!$A$2,IF(COUNTIF(Ben_F!D:D,J31)=1,_xlfn.XLOOKUP(J31,Ben_F!D:D,Ben_F!$A:$A),INDEX(Ben_F!$A:$A,MATCH(J31,Ben_F!D:D)+1))),IF(J31&lt;Ben_G!D$2,Ben_G!$A$2,IF(COUNTIF(Ben_G!D:D,J31)=1,_xlfn.XLOOKUP(J31,Ben_G!D:D,Ben_G!$A:$A),INDEX(Ben_G!$A:$A,MATCH(J31,Ben_G!D:D)+1)))))))))&amp;IF(J31="",""," pt(s)"))</f>
        <v/>
      </c>
      <c r="K32" s="100"/>
      <c r="L32" s="53" t="str" cm="1">
        <f t="array" ref="L32">IF(AND($D31="",L31&lt;&gt;""),"Genre?",IF(L31="","",IF(L31="x",0,IF(L31="DSQ",1,IF(L31="ABD",1,IF(L31="NP",0,IF($D31="F",IF(L31&gt;Ben_F!J$2,Ben_F!$A$2,IF(COUNTIF(Ben_F!J:J,L31)=1,_xlfn.XLOOKUP(L31,Ben_F!J:J,Ben_F!$A:$A),INDEX(Ben_F!$A:$A,MATCH(L31,Ben_F!J:J,-1)+1))),IF(L31&gt;Ben_G!J$2,Ben_G!$A$2,IF(COUNTIF(Ben_G!J:J,L31)=1,_xlfn.XLOOKUP(L31,Ben_G!J:J,Ben_G!$A:$A),INDEX(Ben_G!$A:$A,MATCH(L31,Ben_G!J:J,-1)+1)))))))))&amp;IF(L31="",""," pt(s)"))</f>
        <v/>
      </c>
      <c r="M32" s="53" t="str" cm="1">
        <f t="array" ref="M32">IF(AND($D31="",M31&lt;&gt;""),"Genre?",IF(M31="","",IF(M31="x",0,IF(M31="DSQ",1,IF(M31="ABD",1,IF(M31="NP",0,IF($D31="F",IF(M31&gt;Ben_F!K$2,Ben_F!$A$2,IF(COUNTIF(Ben_F!K:K,M31)=1,_xlfn.XLOOKUP(M31,Ben_F!K:K,Ben_F!$A:$A),INDEX(Ben_F!$A:$A,MATCH(M31,Ben_F!K:K,-1)+1))),IF(M31&gt;Ben_G!K$2,Ben_G!$A$2,IF(COUNTIF(Ben_G!K:K,M31)=1,_xlfn.XLOOKUP(M31,Ben_G!K:K,Ben_G!$A:$A),INDEX(Ben_G!$A:$A,MATCH(M31,Ben_G!K:K,-1)+1)))))))))&amp;IF(M31="",""," pt(s)"))</f>
        <v/>
      </c>
      <c r="N32" s="53" t="str" cm="1">
        <f t="array" ref="N32">IF(AND($D31="",N31&lt;&gt;""),"Genre?",IF(N31="","",IF(N31="x",0,IF(N31="DSQ",1,IF(N31="ABD",1,IF(N31="NP",0,IF($D31="F",IF(N31&gt;Ben_F!L$2,Ben_F!$A$2,IF(COUNTIF(Ben_F!L:L,N31)=1,_xlfn.XLOOKUP(N31,Ben_F!L:L,Ben_F!$A:$A),INDEX(Ben_F!$A:$A,MATCH(N31,Ben_F!L:L,-1)+1))),IF(N31&gt;Ben_G!L$2,Ben_G!$A$2,IF(COUNTIF(Ben_G!L:L,N31)=1,_xlfn.XLOOKUP(N31,Ben_G!L:L,Ben_G!$A:$A),INDEX(Ben_G!$A:$A,MATCH(N31,Ben_G!L:L,-1)+1)))))))))&amp;IF(N31="",""," pt(s)"))</f>
        <v/>
      </c>
      <c r="O32" s="54" t="str" cm="1">
        <f t="array" ref="O32">IF(AND($D31="",O31&lt;&gt;""),"Genre?",IF(O31="","",IF(O31="x",0,IF(O31="DSQ",1,IF(O31="ABD",1,IF(O31="NP",0,IF($D31="F",IF(O31&gt;Ben_F!M$2,Ben_F!$A$2,IF(COUNTIF(Ben_F!M:M,O31)=1,_xlfn.XLOOKUP(O31,Ben_F!M:M,Ben_F!$A:$A),INDEX(Ben_F!$A:$A,MATCH(O31,Ben_F!M:M,-1)+1))),IF(O31&gt;Ben_G!M$2,Ben_G!$A$2,IF(COUNTIF(Ben_G!M:M,O31)=1,_xlfn.XLOOKUP(O31,Ben_G!M:M,Ben_G!$A:$A),INDEX(Ben_G!$A:$A,MATCH(O31,Ben_G!M:M,-1)+1)))))))))&amp;IF(O31="",""," pt(s)"))</f>
        <v/>
      </c>
      <c r="P32" s="55" t="str" cm="1">
        <f t="array" ref="P32">IF(AND($D31="",P31&lt;&gt;""),"Genre?",IF(P31="","",IF(P31="x",0,IF(P31="DSQ",1,IF(P31="ABD",1,IF(P31="NP",0,IF($D31="F",IF(P31&gt;Ben_F!N$2,Ben_F!$A$2,IF(COUNTIF(Ben_F!N:N,P31)=1,_xlfn.XLOOKUP(P31,Ben_F!N:N,Ben_F!$A:$A),INDEX(Ben_F!$A:$A,MATCH(P31,Ben_F!N:N,-1)+1))),IF(P31&gt;Ben_G!N$2,Ben_G!$A$2,IF(COUNTIF(Ben_G!N:N,P31)=1,_xlfn.XLOOKUP(P31,Ben_G!N:N,Ben_G!$A:$A),INDEX(Ben_G!$A:$A,MATCH(P31,Ben_G!N:N,-1)+1)))))))))&amp;IF(P31="",""," pt(s)"))</f>
        <v/>
      </c>
      <c r="Q32" s="53" t="str" cm="1">
        <f t="array" ref="Q32">IF(AND($D31="",Q31&lt;&gt;""),"Genre?",IF(Q31="","",IF(Q31="x",0,IF(Q31="DSQ",1,IF(Q31="ABD",1,IF(Q31="NP",0,IF($D31="F",IF(Q31&gt;Ben_F!O$2,Ben_F!$A$2,IF(COUNTIF(Ben_F!O:O,Q31)=1,_xlfn.XLOOKUP(Q31,Ben_F!O:O,Ben_F!$A:$A),INDEX(Ben_F!$A:$A,MATCH(Q31,Ben_F!O:O,-1)+1))),IF(Q31&gt;Ben_G!O$2,Ben_G!$A$2,IF(COUNTIF(Ben_G!O:O,Q31)=1,_xlfn.XLOOKUP(Q31,Ben_G!O:O,Ben_G!$A:$A),INDEX(Ben_G!$A:$A,MATCH(Q31,Ben_G!O:O,-1)+1)))))))))&amp;IF(Q31="",""," pt(s)"))</f>
        <v/>
      </c>
      <c r="R32" s="53" t="str" cm="1">
        <f t="array" ref="R32">IF(AND($D31="",R31&lt;&gt;""),"Genre?",IF(R31="","",IF(R31="x",0,IF(R31="DSQ",1,IF(R31="ABD",1,IF(R31="NP",0,IF($D31="F",IF(R31&gt;Ben_F!P$2,Ben_F!$A$2,IF(COUNTIF(Ben_F!P:P,R31)=1,_xlfn.XLOOKUP(R31,Ben_F!P:P,Ben_F!$A:$A),INDEX(Ben_F!$A:$A,MATCH(R31,Ben_F!P:P,-1)+1))),IF(R31&gt;Ben_G!P$2,Ben_G!$A$2,IF(COUNTIF(Ben_G!P:P,R31)=1,_xlfn.XLOOKUP(R31,Ben_G!P:P,Ben_G!$A:$A),INDEX(Ben_G!$A:$A,MATCH(R31,Ben_G!P:P,-1)+1)))))))))&amp;IF(R31="",""," pt(s)"))</f>
        <v/>
      </c>
      <c r="S32" s="54" t="str" cm="1">
        <f t="array" ref="S32">IF(AND($D31="",S31&lt;&gt;""),"Genre?",IF(S31="","",IF(S31="x",0,IF(S31="DSQ",1,IF(S31="ABD",1,IF(S31="NP",0,IF($D31="F",IF(S31&gt;Ben_F!Q$2,Ben_F!$A$2,IF(COUNTIF(Ben_F!Q:Q,S31)=1,_xlfn.XLOOKUP(S31,Ben_F!Q:Q,Ben_F!$A:$A),INDEX(Ben_F!$A:$A,MATCH(S31,Ben_F!Q:Q,-1)+1))),IF(S31&gt;Ben_G!Q$2,Ben_G!$A$2,IF(COUNTIF(Ben_G!Q:Q,S31)=1,_xlfn.XLOOKUP(S31,Ben_G!Q:Q,Ben_G!$A:$A),INDEX(Ben_G!$A:$A,MATCH(S31,Ben_G!Q:Q,-1)+1)))))))))&amp;IF(S31="",""," pt(s)"))</f>
        <v/>
      </c>
      <c r="T32" s="133"/>
      <c r="U32" s="211"/>
      <c r="V32" s="126"/>
      <c r="W32" s="127"/>
      <c r="X32" s="80"/>
    </row>
    <row r="33" spans="1:24" ht="30" customHeight="1" thickTop="1" x14ac:dyDescent="0.3">
      <c r="A33" s="145">
        <v>6</v>
      </c>
      <c r="B33" s="148"/>
      <c r="C33" s="148"/>
      <c r="D33" s="150"/>
      <c r="E33" s="103" t="str">
        <f t="shared" ref="E33" si="16">IF(D33="","",IF(D33="F","BF","BG"))</f>
        <v/>
      </c>
      <c r="F33" s="96"/>
      <c r="G33" s="95"/>
      <c r="H33" s="94"/>
      <c r="I33" s="95"/>
      <c r="J33" s="94"/>
      <c r="K33" s="102"/>
      <c r="L33" s="77"/>
      <c r="M33" s="77"/>
      <c r="N33" s="77"/>
      <c r="O33" s="78"/>
      <c r="P33" s="79"/>
      <c r="Q33" s="77"/>
      <c r="R33" s="77"/>
      <c r="S33" s="78"/>
      <c r="T33" s="135"/>
      <c r="U33" s="211" t="str">
        <f t="shared" ref="U33" si="17">IF(T33="","",IF(E33="","",E33))</f>
        <v/>
      </c>
      <c r="V33" s="124" t="str">
        <f t="shared" ref="V33" si="18">IF(AND(E33="",COUNTA(F33:T33)&gt;0),"manque catégorie",IF(E33="","",IF(COUNTA(F33:T33)=0,"NON",IF(COUNTA(F33:S33)&gt;3,"NON",IF(COUNTA(F33:K33)&gt;1,"NON",IF(COUNTA(L33:O33)&gt;1,"NON",IF(COUNTA(P33:S33)&gt;1,"NON",IF(AND(COUNTA(T33)=1,COUNTA(F33:S33)=0),"NON","OUI"))))))))</f>
        <v/>
      </c>
      <c r="W33" s="125"/>
      <c r="X33" s="80" t="str">
        <f t="shared" ref="X33" si="19">IF(V33="","",IF(V33="manque catégorie","NON",IF(V33="NON","NON","OUI")))</f>
        <v/>
      </c>
    </row>
    <row r="34" spans="1:24" ht="30" customHeight="1" thickBot="1" x14ac:dyDescent="0.35">
      <c r="A34" s="146"/>
      <c r="B34" s="149"/>
      <c r="C34" s="149"/>
      <c r="D34" s="151"/>
      <c r="E34" s="104"/>
      <c r="F34" s="97" t="str" cm="1">
        <f t="array" ref="F34">IF(AND($D33="",F33&lt;&gt;""),"Genre?",IF(F33="","",IF(F33="x",0,IF(F33="DSQ",1,IF(F33="ABD",1,IF(F33="NP",0,IF($D33="F",IF(F33&lt;Ben_F!B$2,Ben_F!$A$2,IF(COUNTIF(Ben_F!B:B,F33)=1,_xlfn.XLOOKUP(F33,Ben_F!B:B,Ben_F!$A:$A),INDEX(Ben_F!$A:$A,MATCH(F33,Ben_F!B:B)+1))),IF(F33&lt;Ben_G!B$2,Ben_G!$A$2,IF(COUNTIF(Ben_G!B:B,F33)=1,_xlfn.XLOOKUP(F33,Ben_G!B:B,Ben_G!$A:$A),INDEX(Ben_G!$A:$A,MATCH(F33,Ben_G!B:B)+1)))))))))&amp;IF(F33="",""," pt(s)"))</f>
        <v/>
      </c>
      <c r="G34" s="91"/>
      <c r="H34" s="90" t="str" cm="1">
        <f t="array" ref="H34">IF(AND($D33="",H33&lt;&gt;""),"Genre?",IF(H33="","",IF(H33="x",0,IF(H33="DSQ",1,IF(H33="ABD",1,IF(H33="NP",0,IF($D33="F",IF(H33&lt;Ben_F!G$2,Ben_F!$A$2,IF(COUNTIF(Ben_F!G:G,H33)=1,_xlfn.XLOOKUP(H33,Ben_F!G:G,Ben_F!$A:$A),INDEX(Ben_F!$A:$A,MATCH(H33,Ben_F!G:G)+1))),IF(H33&lt;Ben_G!G$2,Ben_G!$A$2,IF(COUNTIF(Ben_G!G:G,H33)=1,_xlfn.XLOOKUP(H33,Ben_G!G:G,Ben_G!$A:$A),INDEX(Ben_G!$A:$A,MATCH(H33,Ben_G!G:G)+1)))))))))&amp;IF(H33="",""," pt(s)"))</f>
        <v/>
      </c>
      <c r="I34" s="91"/>
      <c r="J34" s="90" t="str" cm="1">
        <f t="array" ref="J34">IF(AND($D33="",J33&lt;&gt;""),"Genre?",IF(J33="","",IF(J33="x",0,IF(J33="DSQ",1,IF(J33="ABD",1,IF(J33="NP",0,IF($D33="F",IF(J33&lt;Ben_F!D$2,Ben_F!$A$2,IF(COUNTIF(Ben_F!D:D,J33)=1,_xlfn.XLOOKUP(J33,Ben_F!D:D,Ben_F!$A:$A),INDEX(Ben_F!$A:$A,MATCH(J33,Ben_F!D:D)+1))),IF(J33&lt;Ben_G!D$2,Ben_G!$A$2,IF(COUNTIF(Ben_G!D:D,J33)=1,_xlfn.XLOOKUP(J33,Ben_G!D:D,Ben_G!$A:$A),INDEX(Ben_G!$A:$A,MATCH(J33,Ben_G!D:D)+1)))))))))&amp;IF(J33="",""," pt(s)"))</f>
        <v/>
      </c>
      <c r="K34" s="100"/>
      <c r="L34" s="53" t="str" cm="1">
        <f t="array" ref="L34">IF(AND($D33="",L33&lt;&gt;""),"Genre?",IF(L33="","",IF(L33="x",0,IF(L33="DSQ",1,IF(L33="ABD",1,IF(L33="NP",0,IF($D33="F",IF(L33&gt;Ben_F!J$2,Ben_F!$A$2,IF(COUNTIF(Ben_F!J:J,L33)=1,_xlfn.XLOOKUP(L33,Ben_F!J:J,Ben_F!$A:$A),INDEX(Ben_F!$A:$A,MATCH(L33,Ben_F!J:J,-1)+1))),IF(L33&gt;Ben_G!J$2,Ben_G!$A$2,IF(COUNTIF(Ben_G!J:J,L33)=1,_xlfn.XLOOKUP(L33,Ben_G!J:J,Ben_G!$A:$A),INDEX(Ben_G!$A:$A,MATCH(L33,Ben_G!J:J,-1)+1)))))))))&amp;IF(L33="",""," pt(s)"))</f>
        <v/>
      </c>
      <c r="M34" s="53" t="str" cm="1">
        <f t="array" ref="M34">IF(AND($D33="",M33&lt;&gt;""),"Genre?",IF(M33="","",IF(M33="x",0,IF(M33="DSQ",1,IF(M33="ABD",1,IF(M33="NP",0,IF($D33="F",IF(M33&gt;Ben_F!K$2,Ben_F!$A$2,IF(COUNTIF(Ben_F!K:K,M33)=1,_xlfn.XLOOKUP(M33,Ben_F!K:K,Ben_F!$A:$A),INDEX(Ben_F!$A:$A,MATCH(M33,Ben_F!K:K,-1)+1))),IF(M33&gt;Ben_G!K$2,Ben_G!$A$2,IF(COUNTIF(Ben_G!K:K,M33)=1,_xlfn.XLOOKUP(M33,Ben_G!K:K,Ben_G!$A:$A),INDEX(Ben_G!$A:$A,MATCH(M33,Ben_G!K:K,-1)+1)))))))))&amp;IF(M33="",""," pt(s)"))</f>
        <v/>
      </c>
      <c r="N34" s="53" t="str" cm="1">
        <f t="array" ref="N34">IF(AND($D33="",N33&lt;&gt;""),"Genre?",IF(N33="","",IF(N33="x",0,IF(N33="DSQ",1,IF(N33="ABD",1,IF(N33="NP",0,IF($D33="F",IF(N33&gt;Ben_F!L$2,Ben_F!$A$2,IF(COUNTIF(Ben_F!L:L,N33)=1,_xlfn.XLOOKUP(N33,Ben_F!L:L,Ben_F!$A:$A),INDEX(Ben_F!$A:$A,MATCH(N33,Ben_F!L:L,-1)+1))),IF(N33&gt;Ben_G!L$2,Ben_G!$A$2,IF(COUNTIF(Ben_G!L:L,N33)=1,_xlfn.XLOOKUP(N33,Ben_G!L:L,Ben_G!$A:$A),INDEX(Ben_G!$A:$A,MATCH(N33,Ben_G!L:L,-1)+1)))))))))&amp;IF(N33="",""," pt(s)"))</f>
        <v/>
      </c>
      <c r="O34" s="54" t="str" cm="1">
        <f t="array" ref="O34">IF(AND($D33="",O33&lt;&gt;""),"Genre?",IF(O33="","",IF(O33="x",0,IF(O33="DSQ",1,IF(O33="ABD",1,IF(O33="NP",0,IF($D33="F",IF(O33&gt;Ben_F!M$2,Ben_F!$A$2,IF(COUNTIF(Ben_F!M:M,O33)=1,_xlfn.XLOOKUP(O33,Ben_F!M:M,Ben_F!$A:$A),INDEX(Ben_F!$A:$A,MATCH(O33,Ben_F!M:M,-1)+1))),IF(O33&gt;Ben_G!M$2,Ben_G!$A$2,IF(COUNTIF(Ben_G!M:M,O33)=1,_xlfn.XLOOKUP(O33,Ben_G!M:M,Ben_G!$A:$A),INDEX(Ben_G!$A:$A,MATCH(O33,Ben_G!M:M,-1)+1)))))))))&amp;IF(O33="",""," pt(s)"))</f>
        <v/>
      </c>
      <c r="P34" s="55" t="str" cm="1">
        <f t="array" ref="P34">IF(AND($D33="",P33&lt;&gt;""),"Genre?",IF(P33="","",IF(P33="x",0,IF(P33="DSQ",1,IF(P33="ABD",1,IF(P33="NP",0,IF($D33="F",IF(P33&gt;Ben_F!N$2,Ben_F!$A$2,IF(COUNTIF(Ben_F!N:N,P33)=1,_xlfn.XLOOKUP(P33,Ben_F!N:N,Ben_F!$A:$A),INDEX(Ben_F!$A:$A,MATCH(P33,Ben_F!N:N,-1)+1))),IF(P33&gt;Ben_G!N$2,Ben_G!$A$2,IF(COUNTIF(Ben_G!N:N,P33)=1,_xlfn.XLOOKUP(P33,Ben_G!N:N,Ben_G!$A:$A),INDEX(Ben_G!$A:$A,MATCH(P33,Ben_G!N:N,-1)+1)))))))))&amp;IF(P33="",""," pt(s)"))</f>
        <v/>
      </c>
      <c r="Q34" s="53" t="str" cm="1">
        <f t="array" ref="Q34">IF(AND($D33="",Q33&lt;&gt;""),"Genre?",IF(Q33="","",IF(Q33="x",0,IF(Q33="DSQ",1,IF(Q33="ABD",1,IF(Q33="NP",0,IF($D33="F",IF(Q33&gt;Ben_F!O$2,Ben_F!$A$2,IF(COUNTIF(Ben_F!O:O,Q33)=1,_xlfn.XLOOKUP(Q33,Ben_F!O:O,Ben_F!$A:$A),INDEX(Ben_F!$A:$A,MATCH(Q33,Ben_F!O:O,-1)+1))),IF(Q33&gt;Ben_G!O$2,Ben_G!$A$2,IF(COUNTIF(Ben_G!O:O,Q33)=1,_xlfn.XLOOKUP(Q33,Ben_G!O:O,Ben_G!$A:$A),INDEX(Ben_G!$A:$A,MATCH(Q33,Ben_G!O:O,-1)+1)))))))))&amp;IF(Q33="",""," pt(s)"))</f>
        <v/>
      </c>
      <c r="R34" s="53" t="str" cm="1">
        <f t="array" ref="R34">IF(AND($D33="",R33&lt;&gt;""),"Genre?",IF(R33="","",IF(R33="x",0,IF(R33="DSQ",1,IF(R33="ABD",1,IF(R33="NP",0,IF($D33="F",IF(R33&gt;Ben_F!P$2,Ben_F!$A$2,IF(COUNTIF(Ben_F!P:P,R33)=1,_xlfn.XLOOKUP(R33,Ben_F!P:P,Ben_F!$A:$A),INDEX(Ben_F!$A:$A,MATCH(R33,Ben_F!P:P,-1)+1))),IF(R33&gt;Ben_G!P$2,Ben_G!$A$2,IF(COUNTIF(Ben_G!P:P,R33)=1,_xlfn.XLOOKUP(R33,Ben_G!P:P,Ben_G!$A:$A),INDEX(Ben_G!$A:$A,MATCH(R33,Ben_G!P:P,-1)+1)))))))))&amp;IF(R33="",""," pt(s)"))</f>
        <v/>
      </c>
      <c r="S34" s="54" t="str" cm="1">
        <f t="array" ref="S34">IF(AND($D33="",S33&lt;&gt;""),"Genre?",IF(S33="","",IF(S33="x",0,IF(S33="DSQ",1,IF(S33="ABD",1,IF(S33="NP",0,IF($D33="F",IF(S33&gt;Ben_F!Q$2,Ben_F!$A$2,IF(COUNTIF(Ben_F!Q:Q,S33)=1,_xlfn.XLOOKUP(S33,Ben_F!Q:Q,Ben_F!$A:$A),INDEX(Ben_F!$A:$A,MATCH(S33,Ben_F!Q:Q,-1)+1))),IF(S33&gt;Ben_G!Q$2,Ben_G!$A$2,IF(COUNTIF(Ben_G!Q:Q,S33)=1,_xlfn.XLOOKUP(S33,Ben_G!Q:Q,Ben_G!$A:$A),INDEX(Ben_G!$A:$A,MATCH(S33,Ben_G!Q:Q,-1)+1)))))))))&amp;IF(S33="",""," pt(s)"))</f>
        <v/>
      </c>
      <c r="T34" s="136"/>
      <c r="U34" s="211"/>
      <c r="V34" s="126"/>
      <c r="W34" s="127"/>
      <c r="X34" s="80"/>
    </row>
    <row r="35" spans="1:24" ht="30" customHeight="1" thickTop="1" x14ac:dyDescent="0.3">
      <c r="A35" s="141">
        <v>7</v>
      </c>
      <c r="B35" s="143"/>
      <c r="C35" s="143"/>
      <c r="D35" s="152"/>
      <c r="E35" s="103" t="str">
        <f t="shared" ref="E35" si="20">IF(D35="","",IF(D35="F","BF","BG"))</f>
        <v/>
      </c>
      <c r="F35" s="98"/>
      <c r="G35" s="89"/>
      <c r="H35" s="88"/>
      <c r="I35" s="89"/>
      <c r="J35" s="88"/>
      <c r="K35" s="99"/>
      <c r="L35" s="40"/>
      <c r="M35" s="40"/>
      <c r="N35" s="40"/>
      <c r="O35" s="41"/>
      <c r="P35" s="42"/>
      <c r="Q35" s="40"/>
      <c r="R35" s="40"/>
      <c r="S35" s="41"/>
      <c r="T35" s="132"/>
      <c r="U35" s="211" t="str">
        <f t="shared" ref="U35" si="21">IF(T35="","",IF(E35="","",E35))</f>
        <v/>
      </c>
      <c r="V35" s="124" t="str">
        <f t="shared" ref="V35" si="22">IF(AND(E35="",COUNTA(F35:T35)&gt;0),"manque catégorie",IF(E35="","",IF(COUNTA(F35:T35)=0,"NON",IF(COUNTA(F35:S35)&gt;3,"NON",IF(COUNTA(F35:K35)&gt;1,"NON",IF(COUNTA(L35:O35)&gt;1,"NON",IF(COUNTA(P35:S35)&gt;1,"NON",IF(AND(COUNTA(T35)=1,COUNTA(F35:S35)=0),"NON","OUI"))))))))</f>
        <v/>
      </c>
      <c r="W35" s="125"/>
      <c r="X35" s="80" t="str">
        <f t="shared" ref="X35" si="23">IF(V35="","",IF(V35="manque catégorie","NON",IF(V35="NON","NON","OUI")))</f>
        <v/>
      </c>
    </row>
    <row r="36" spans="1:24" ht="30" customHeight="1" thickBot="1" x14ac:dyDescent="0.35">
      <c r="A36" s="142"/>
      <c r="B36" s="144"/>
      <c r="C36" s="144"/>
      <c r="D36" s="153"/>
      <c r="E36" s="104"/>
      <c r="F36" s="97" t="str" cm="1">
        <f t="array" ref="F36">IF(AND($D35="",F35&lt;&gt;""),"Genre?",IF(F35="","",IF(F35="x",0,IF(F35="DSQ",1,IF(F35="ABD",1,IF(F35="NP",0,IF($D35="F",IF(F35&lt;Ben_F!B$2,Ben_F!$A$2,IF(COUNTIF(Ben_F!B:B,F35)=1,_xlfn.XLOOKUP(F35,Ben_F!B:B,Ben_F!$A:$A),INDEX(Ben_F!$A:$A,MATCH(F35,Ben_F!B:B)+1))),IF(F35&lt;Ben_G!B$2,Ben_G!$A$2,IF(COUNTIF(Ben_G!B:B,F35)=1,_xlfn.XLOOKUP(F35,Ben_G!B:B,Ben_G!$A:$A),INDEX(Ben_G!$A:$A,MATCH(F35,Ben_G!B:B)+1)))))))))&amp;IF(F35="",""," pt(s)"))</f>
        <v/>
      </c>
      <c r="G36" s="91"/>
      <c r="H36" s="90" t="str" cm="1">
        <f t="array" ref="H36">IF(AND($D35="",H35&lt;&gt;""),"Genre?",IF(H35="","",IF(H35="x",0,IF(H35="DSQ",1,IF(H35="ABD",1,IF(H35="NP",0,IF($D35="F",IF(H35&lt;Ben_F!G$2,Ben_F!$A$2,IF(COUNTIF(Ben_F!G:G,H35)=1,_xlfn.XLOOKUP(H35,Ben_F!G:G,Ben_F!$A:$A),INDEX(Ben_F!$A:$A,MATCH(H35,Ben_F!G:G)+1))),IF(H35&lt;Ben_G!G$2,Ben_G!$A$2,IF(COUNTIF(Ben_G!G:G,H35)=1,_xlfn.XLOOKUP(H35,Ben_G!G:G,Ben_G!$A:$A),INDEX(Ben_G!$A:$A,MATCH(H35,Ben_G!G:G)+1)))))))))&amp;IF(H35="",""," pt(s)"))</f>
        <v/>
      </c>
      <c r="I36" s="91"/>
      <c r="J36" s="90" t="str" cm="1">
        <f t="array" ref="J36">IF(AND($D35="",J35&lt;&gt;""),"Genre?",IF(J35="","",IF(J35="x",0,IF(J35="DSQ",1,IF(J35="ABD",1,IF(J35="NP",0,IF($D35="F",IF(J35&lt;Ben_F!D$2,Ben_F!$A$2,IF(COUNTIF(Ben_F!D:D,J35)=1,_xlfn.XLOOKUP(J35,Ben_F!D:D,Ben_F!$A:$A),INDEX(Ben_F!$A:$A,MATCH(J35,Ben_F!D:D)+1))),IF(J35&lt;Ben_G!D$2,Ben_G!$A$2,IF(COUNTIF(Ben_G!D:D,J35)=1,_xlfn.XLOOKUP(J35,Ben_G!D:D,Ben_G!$A:$A),INDEX(Ben_G!$A:$A,MATCH(J35,Ben_G!D:D)+1)))))))))&amp;IF(J35="",""," pt(s)"))</f>
        <v/>
      </c>
      <c r="K36" s="100"/>
      <c r="L36" s="53" t="str" cm="1">
        <f t="array" ref="L36">IF(AND($D35="",L35&lt;&gt;""),"Genre?",IF(L35="","",IF(L35="x",0,IF(L35="DSQ",1,IF(L35="ABD",1,IF(L35="NP",0,IF($D35="F",IF(L35&gt;Ben_F!J$2,Ben_F!$A$2,IF(COUNTIF(Ben_F!J:J,L35)=1,_xlfn.XLOOKUP(L35,Ben_F!J:J,Ben_F!$A:$A),INDEX(Ben_F!$A:$A,MATCH(L35,Ben_F!J:J,-1)+1))),IF(L35&gt;Ben_G!J$2,Ben_G!$A$2,IF(COUNTIF(Ben_G!J:J,L35)=1,_xlfn.XLOOKUP(L35,Ben_G!J:J,Ben_G!$A:$A),INDEX(Ben_G!$A:$A,MATCH(L35,Ben_G!J:J,-1)+1)))))))))&amp;IF(L35="",""," pt(s)"))</f>
        <v/>
      </c>
      <c r="M36" s="53" t="str" cm="1">
        <f t="array" ref="M36">IF(AND($D35="",M35&lt;&gt;""),"Genre?",IF(M35="","",IF(M35="x",0,IF(M35="DSQ",1,IF(M35="ABD",1,IF(M35="NP",0,IF($D35="F",IF(M35&gt;Ben_F!K$2,Ben_F!$A$2,IF(COUNTIF(Ben_F!K:K,M35)=1,_xlfn.XLOOKUP(M35,Ben_F!K:K,Ben_F!$A:$A),INDEX(Ben_F!$A:$A,MATCH(M35,Ben_F!K:K,-1)+1))),IF(M35&gt;Ben_G!K$2,Ben_G!$A$2,IF(COUNTIF(Ben_G!K:K,M35)=1,_xlfn.XLOOKUP(M35,Ben_G!K:K,Ben_G!$A:$A),INDEX(Ben_G!$A:$A,MATCH(M35,Ben_G!K:K,-1)+1)))))))))&amp;IF(M35="",""," pt(s)"))</f>
        <v/>
      </c>
      <c r="N36" s="53" t="str" cm="1">
        <f t="array" ref="N36">IF(AND($D35="",N35&lt;&gt;""),"Genre?",IF(N35="","",IF(N35="x",0,IF(N35="DSQ",1,IF(N35="ABD",1,IF(N35="NP",0,IF($D35="F",IF(N35&gt;Ben_F!L$2,Ben_F!$A$2,IF(COUNTIF(Ben_F!L:L,N35)=1,_xlfn.XLOOKUP(N35,Ben_F!L:L,Ben_F!$A:$A),INDEX(Ben_F!$A:$A,MATCH(N35,Ben_F!L:L,-1)+1))),IF(N35&gt;Ben_G!L$2,Ben_G!$A$2,IF(COUNTIF(Ben_G!L:L,N35)=1,_xlfn.XLOOKUP(N35,Ben_G!L:L,Ben_G!$A:$A),INDEX(Ben_G!$A:$A,MATCH(N35,Ben_G!L:L,-1)+1)))))))))&amp;IF(N35="",""," pt(s)"))</f>
        <v/>
      </c>
      <c r="O36" s="54" t="str" cm="1">
        <f t="array" ref="O36">IF(AND($D35="",O35&lt;&gt;""),"Genre?",IF(O35="","",IF(O35="x",0,IF(O35="DSQ",1,IF(O35="ABD",1,IF(O35="NP",0,IF($D35="F",IF(O35&gt;Ben_F!M$2,Ben_F!$A$2,IF(COUNTIF(Ben_F!M:M,O35)=1,_xlfn.XLOOKUP(O35,Ben_F!M:M,Ben_F!$A:$A),INDEX(Ben_F!$A:$A,MATCH(O35,Ben_F!M:M,-1)+1))),IF(O35&gt;Ben_G!M$2,Ben_G!$A$2,IF(COUNTIF(Ben_G!M:M,O35)=1,_xlfn.XLOOKUP(O35,Ben_G!M:M,Ben_G!$A:$A),INDEX(Ben_G!$A:$A,MATCH(O35,Ben_G!M:M,-1)+1)))))))))&amp;IF(O35="",""," pt(s)"))</f>
        <v/>
      </c>
      <c r="P36" s="55" t="str" cm="1">
        <f t="array" ref="P36">IF(AND($D35="",P35&lt;&gt;""),"Genre?",IF(P35="","",IF(P35="x",0,IF(P35="DSQ",1,IF(P35="ABD",1,IF(P35="NP",0,IF($D35="F",IF(P35&gt;Ben_F!N$2,Ben_F!$A$2,IF(COUNTIF(Ben_F!N:N,P35)=1,_xlfn.XLOOKUP(P35,Ben_F!N:N,Ben_F!$A:$A),INDEX(Ben_F!$A:$A,MATCH(P35,Ben_F!N:N,-1)+1))),IF(P35&gt;Ben_G!N$2,Ben_G!$A$2,IF(COUNTIF(Ben_G!N:N,P35)=1,_xlfn.XLOOKUP(P35,Ben_G!N:N,Ben_G!$A:$A),INDEX(Ben_G!$A:$A,MATCH(P35,Ben_G!N:N,-1)+1)))))))))&amp;IF(P35="",""," pt(s)"))</f>
        <v/>
      </c>
      <c r="Q36" s="53" t="str" cm="1">
        <f t="array" ref="Q36">IF(AND($D35="",Q35&lt;&gt;""),"Genre?",IF(Q35="","",IF(Q35="x",0,IF(Q35="DSQ",1,IF(Q35="ABD",1,IF(Q35="NP",0,IF($D35="F",IF(Q35&gt;Ben_F!O$2,Ben_F!$A$2,IF(COUNTIF(Ben_F!O:O,Q35)=1,_xlfn.XLOOKUP(Q35,Ben_F!O:O,Ben_F!$A:$A),INDEX(Ben_F!$A:$A,MATCH(Q35,Ben_F!O:O,-1)+1))),IF(Q35&gt;Ben_G!O$2,Ben_G!$A$2,IF(COUNTIF(Ben_G!O:O,Q35)=1,_xlfn.XLOOKUP(Q35,Ben_G!O:O,Ben_G!$A:$A),INDEX(Ben_G!$A:$A,MATCH(Q35,Ben_G!O:O,-1)+1)))))))))&amp;IF(Q35="",""," pt(s)"))</f>
        <v/>
      </c>
      <c r="R36" s="53" t="str" cm="1">
        <f t="array" ref="R36">IF(AND($D35="",R35&lt;&gt;""),"Genre?",IF(R35="","",IF(R35="x",0,IF(R35="DSQ",1,IF(R35="ABD",1,IF(R35="NP",0,IF($D35="F",IF(R35&gt;Ben_F!P$2,Ben_F!$A$2,IF(COUNTIF(Ben_F!P:P,R35)=1,_xlfn.XLOOKUP(R35,Ben_F!P:P,Ben_F!$A:$A),INDEX(Ben_F!$A:$A,MATCH(R35,Ben_F!P:P,-1)+1))),IF(R35&gt;Ben_G!P$2,Ben_G!$A$2,IF(COUNTIF(Ben_G!P:P,R35)=1,_xlfn.XLOOKUP(R35,Ben_G!P:P,Ben_G!$A:$A),INDEX(Ben_G!$A:$A,MATCH(R35,Ben_G!P:P,-1)+1)))))))))&amp;IF(R35="",""," pt(s)"))</f>
        <v/>
      </c>
      <c r="S36" s="54" t="str" cm="1">
        <f t="array" ref="S36">IF(AND($D35="",S35&lt;&gt;""),"Genre?",IF(S35="","",IF(S35="x",0,IF(S35="DSQ",1,IF(S35="ABD",1,IF(S35="NP",0,IF($D35="F",IF(S35&gt;Ben_F!Q$2,Ben_F!$A$2,IF(COUNTIF(Ben_F!Q:Q,S35)=1,_xlfn.XLOOKUP(S35,Ben_F!Q:Q,Ben_F!$A:$A),INDEX(Ben_F!$A:$A,MATCH(S35,Ben_F!Q:Q,-1)+1))),IF(S35&gt;Ben_G!Q$2,Ben_G!$A$2,IF(COUNTIF(Ben_G!Q:Q,S35)=1,_xlfn.XLOOKUP(S35,Ben_G!Q:Q,Ben_G!$A:$A),INDEX(Ben_G!$A:$A,MATCH(S35,Ben_G!Q:Q,-1)+1)))))))))&amp;IF(S35="",""," pt(s)"))</f>
        <v/>
      </c>
      <c r="T36" s="133"/>
      <c r="U36" s="211"/>
      <c r="V36" s="126"/>
      <c r="W36" s="127"/>
      <c r="X36" s="80"/>
    </row>
    <row r="37" spans="1:24" ht="30" customHeight="1" thickTop="1" x14ac:dyDescent="0.3">
      <c r="A37" s="145">
        <v>8</v>
      </c>
      <c r="B37" s="148"/>
      <c r="C37" s="148"/>
      <c r="D37" s="150"/>
      <c r="E37" s="103" t="str">
        <f t="shared" ref="E37" si="24">IF(D37="","",IF(D37="F","BF","BG"))</f>
        <v/>
      </c>
      <c r="F37" s="96"/>
      <c r="G37" s="95"/>
      <c r="H37" s="94"/>
      <c r="I37" s="95"/>
      <c r="J37" s="94"/>
      <c r="K37" s="102"/>
      <c r="L37" s="77"/>
      <c r="M37" s="77"/>
      <c r="N37" s="77"/>
      <c r="O37" s="78"/>
      <c r="P37" s="79"/>
      <c r="Q37" s="77"/>
      <c r="R37" s="77"/>
      <c r="S37" s="78"/>
      <c r="T37" s="135"/>
      <c r="U37" s="211" t="str">
        <f t="shared" ref="U37" si="25">IF(T37="","",IF(E37="","",E37))</f>
        <v/>
      </c>
      <c r="V37" s="124" t="str">
        <f t="shared" ref="V37" si="26">IF(AND(E37="",COUNTA(F37:T37)&gt;0),"manque catégorie",IF(E37="","",IF(COUNTA(F37:T37)=0,"NON",IF(COUNTA(F37:S37)&gt;3,"NON",IF(COUNTA(F37:K37)&gt;1,"NON",IF(COUNTA(L37:O37)&gt;1,"NON",IF(COUNTA(P37:S37)&gt;1,"NON",IF(AND(COUNTA(T37)=1,COUNTA(F37:S37)=0),"NON","OUI"))))))))</f>
        <v/>
      </c>
      <c r="W37" s="125"/>
      <c r="X37" s="80" t="str">
        <f t="shared" ref="X37" si="27">IF(V37="","",IF(V37="manque catégorie","NON",IF(V37="NON","NON","OUI")))</f>
        <v/>
      </c>
    </row>
    <row r="38" spans="1:24" ht="30" customHeight="1" thickBot="1" x14ac:dyDescent="0.35">
      <c r="A38" s="146"/>
      <c r="B38" s="149"/>
      <c r="C38" s="149"/>
      <c r="D38" s="151"/>
      <c r="E38" s="104"/>
      <c r="F38" s="97" t="str" cm="1">
        <f t="array" ref="F38">IF(AND($D37="",F37&lt;&gt;""),"Genre?",IF(F37="","",IF(F37="x",0,IF(F37="DSQ",1,IF(F37="ABD",1,IF(F37="NP",0,IF($D37="F",IF(F37&lt;Ben_F!B$2,Ben_F!$A$2,IF(COUNTIF(Ben_F!B:B,F37)=1,_xlfn.XLOOKUP(F37,Ben_F!B:B,Ben_F!$A:$A),INDEX(Ben_F!$A:$A,MATCH(F37,Ben_F!B:B)+1))),IF(F37&lt;Ben_G!B$2,Ben_G!$A$2,IF(COUNTIF(Ben_G!B:B,F37)=1,_xlfn.XLOOKUP(F37,Ben_G!B:B,Ben_G!$A:$A),INDEX(Ben_G!$A:$A,MATCH(F37,Ben_G!B:B)+1)))))))))&amp;IF(F37="",""," pt(s)"))</f>
        <v/>
      </c>
      <c r="G38" s="91"/>
      <c r="H38" s="90" t="str" cm="1">
        <f t="array" ref="H38">IF(AND($D37="",H37&lt;&gt;""),"Genre?",IF(H37="","",IF(H37="x",0,IF(H37="DSQ",1,IF(H37="ABD",1,IF(H37="NP",0,IF($D37="F",IF(H37&lt;Ben_F!G$2,Ben_F!$A$2,IF(COUNTIF(Ben_F!G:G,H37)=1,_xlfn.XLOOKUP(H37,Ben_F!G:G,Ben_F!$A:$A),INDEX(Ben_F!$A:$A,MATCH(H37,Ben_F!G:G)+1))),IF(H37&lt;Ben_G!G$2,Ben_G!$A$2,IF(COUNTIF(Ben_G!G:G,H37)=1,_xlfn.XLOOKUP(H37,Ben_G!G:G,Ben_G!$A:$A),INDEX(Ben_G!$A:$A,MATCH(H37,Ben_G!G:G)+1)))))))))&amp;IF(H37="",""," pt(s)"))</f>
        <v/>
      </c>
      <c r="I38" s="91"/>
      <c r="J38" s="90" t="str" cm="1">
        <f t="array" ref="J38">IF(AND($D37="",J37&lt;&gt;""),"Genre?",IF(J37="","",IF(J37="x",0,IF(J37="DSQ",1,IF(J37="ABD",1,IF(J37="NP",0,IF($D37="F",IF(J37&lt;Ben_F!D$2,Ben_F!$A$2,IF(COUNTIF(Ben_F!D:D,J37)=1,_xlfn.XLOOKUP(J37,Ben_F!D:D,Ben_F!$A:$A),INDEX(Ben_F!$A:$A,MATCH(J37,Ben_F!D:D)+1))),IF(J37&lt;Ben_G!D$2,Ben_G!$A$2,IF(COUNTIF(Ben_G!D:D,J37)=1,_xlfn.XLOOKUP(J37,Ben_G!D:D,Ben_G!$A:$A),INDEX(Ben_G!$A:$A,MATCH(J37,Ben_G!D:D)+1)))))))))&amp;IF(J37="",""," pt(s)"))</f>
        <v/>
      </c>
      <c r="K38" s="100"/>
      <c r="L38" s="53" t="str" cm="1">
        <f t="array" ref="L38">IF(AND($D37="",L37&lt;&gt;""),"Genre?",IF(L37="","",IF(L37="x",0,IF(L37="DSQ",1,IF(L37="ABD",1,IF(L37="NP",0,IF($D37="F",IF(L37&gt;Ben_F!J$2,Ben_F!$A$2,IF(COUNTIF(Ben_F!J:J,L37)=1,_xlfn.XLOOKUP(L37,Ben_F!J:J,Ben_F!$A:$A),INDEX(Ben_F!$A:$A,MATCH(L37,Ben_F!J:J,-1)+1))),IF(L37&gt;Ben_G!J$2,Ben_G!$A$2,IF(COUNTIF(Ben_G!J:J,L37)=1,_xlfn.XLOOKUP(L37,Ben_G!J:J,Ben_G!$A:$A),INDEX(Ben_G!$A:$A,MATCH(L37,Ben_G!J:J,-1)+1)))))))))&amp;IF(L37="",""," pt(s)"))</f>
        <v/>
      </c>
      <c r="M38" s="53" t="str" cm="1">
        <f t="array" ref="M38">IF(AND($D37="",M37&lt;&gt;""),"Genre?",IF(M37="","",IF(M37="x",0,IF(M37="DSQ",1,IF(M37="ABD",1,IF(M37="NP",0,IF($D37="F",IF(M37&gt;Ben_F!K$2,Ben_F!$A$2,IF(COUNTIF(Ben_F!K:K,M37)=1,_xlfn.XLOOKUP(M37,Ben_F!K:K,Ben_F!$A:$A),INDEX(Ben_F!$A:$A,MATCH(M37,Ben_F!K:K,-1)+1))),IF(M37&gt;Ben_G!K$2,Ben_G!$A$2,IF(COUNTIF(Ben_G!K:K,M37)=1,_xlfn.XLOOKUP(M37,Ben_G!K:K,Ben_G!$A:$A),INDEX(Ben_G!$A:$A,MATCH(M37,Ben_G!K:K,-1)+1)))))))))&amp;IF(M37="",""," pt(s)"))</f>
        <v/>
      </c>
      <c r="N38" s="53" t="str" cm="1">
        <f t="array" ref="N38">IF(AND($D37="",N37&lt;&gt;""),"Genre?",IF(N37="","",IF(N37="x",0,IF(N37="DSQ",1,IF(N37="ABD",1,IF(N37="NP",0,IF($D37="F",IF(N37&gt;Ben_F!L$2,Ben_F!$A$2,IF(COUNTIF(Ben_F!L:L,N37)=1,_xlfn.XLOOKUP(N37,Ben_F!L:L,Ben_F!$A:$A),INDEX(Ben_F!$A:$A,MATCH(N37,Ben_F!L:L,-1)+1))),IF(N37&gt;Ben_G!L$2,Ben_G!$A$2,IF(COUNTIF(Ben_G!L:L,N37)=1,_xlfn.XLOOKUP(N37,Ben_G!L:L,Ben_G!$A:$A),INDEX(Ben_G!$A:$A,MATCH(N37,Ben_G!L:L,-1)+1)))))))))&amp;IF(N37="",""," pt(s)"))</f>
        <v/>
      </c>
      <c r="O38" s="54" t="str" cm="1">
        <f t="array" ref="O38">IF(AND($D37="",O37&lt;&gt;""),"Genre?",IF(O37="","",IF(O37="x",0,IF(O37="DSQ",1,IF(O37="ABD",1,IF(O37="NP",0,IF($D37="F",IF(O37&gt;Ben_F!M$2,Ben_F!$A$2,IF(COUNTIF(Ben_F!M:M,O37)=1,_xlfn.XLOOKUP(O37,Ben_F!M:M,Ben_F!$A:$A),INDEX(Ben_F!$A:$A,MATCH(O37,Ben_F!M:M,-1)+1))),IF(O37&gt;Ben_G!M$2,Ben_G!$A$2,IF(COUNTIF(Ben_G!M:M,O37)=1,_xlfn.XLOOKUP(O37,Ben_G!M:M,Ben_G!$A:$A),INDEX(Ben_G!$A:$A,MATCH(O37,Ben_G!M:M,-1)+1)))))))))&amp;IF(O37="",""," pt(s)"))</f>
        <v/>
      </c>
      <c r="P38" s="55" t="str" cm="1">
        <f t="array" ref="P38">IF(AND($D37="",P37&lt;&gt;""),"Genre?",IF(P37="","",IF(P37="x",0,IF(P37="DSQ",1,IF(P37="ABD",1,IF(P37="NP",0,IF($D37="F",IF(P37&gt;Ben_F!N$2,Ben_F!$A$2,IF(COUNTIF(Ben_F!N:N,P37)=1,_xlfn.XLOOKUP(P37,Ben_F!N:N,Ben_F!$A:$A),INDEX(Ben_F!$A:$A,MATCH(P37,Ben_F!N:N,-1)+1))),IF(P37&gt;Ben_G!N$2,Ben_G!$A$2,IF(COUNTIF(Ben_G!N:N,P37)=1,_xlfn.XLOOKUP(P37,Ben_G!N:N,Ben_G!$A:$A),INDEX(Ben_G!$A:$A,MATCH(P37,Ben_G!N:N,-1)+1)))))))))&amp;IF(P37="",""," pt(s)"))</f>
        <v/>
      </c>
      <c r="Q38" s="53" t="str" cm="1">
        <f t="array" ref="Q38">IF(AND($D37="",Q37&lt;&gt;""),"Genre?",IF(Q37="","",IF(Q37="x",0,IF(Q37="DSQ",1,IF(Q37="ABD",1,IF(Q37="NP",0,IF($D37="F",IF(Q37&gt;Ben_F!O$2,Ben_F!$A$2,IF(COUNTIF(Ben_F!O:O,Q37)=1,_xlfn.XLOOKUP(Q37,Ben_F!O:O,Ben_F!$A:$A),INDEX(Ben_F!$A:$A,MATCH(Q37,Ben_F!O:O,-1)+1))),IF(Q37&gt;Ben_G!O$2,Ben_G!$A$2,IF(COUNTIF(Ben_G!O:O,Q37)=1,_xlfn.XLOOKUP(Q37,Ben_G!O:O,Ben_G!$A:$A),INDEX(Ben_G!$A:$A,MATCH(Q37,Ben_G!O:O,-1)+1)))))))))&amp;IF(Q37="",""," pt(s)"))</f>
        <v/>
      </c>
      <c r="R38" s="53" t="str" cm="1">
        <f t="array" ref="R38">IF(AND($D37="",R37&lt;&gt;""),"Genre?",IF(R37="","",IF(R37="x",0,IF(R37="DSQ",1,IF(R37="ABD",1,IF(R37="NP",0,IF($D37="F",IF(R37&gt;Ben_F!P$2,Ben_F!$A$2,IF(COUNTIF(Ben_F!P:P,R37)=1,_xlfn.XLOOKUP(R37,Ben_F!P:P,Ben_F!$A:$A),INDEX(Ben_F!$A:$A,MATCH(R37,Ben_F!P:P,-1)+1))),IF(R37&gt;Ben_G!P$2,Ben_G!$A$2,IF(COUNTIF(Ben_G!P:P,R37)=1,_xlfn.XLOOKUP(R37,Ben_G!P:P,Ben_G!$A:$A),INDEX(Ben_G!$A:$A,MATCH(R37,Ben_G!P:P,-1)+1)))))))))&amp;IF(R37="",""," pt(s)"))</f>
        <v/>
      </c>
      <c r="S38" s="54" t="str" cm="1">
        <f t="array" ref="S38">IF(AND($D37="",S37&lt;&gt;""),"Genre?",IF(S37="","",IF(S37="x",0,IF(S37="DSQ",1,IF(S37="ABD",1,IF(S37="NP",0,IF($D37="F",IF(S37&gt;Ben_F!Q$2,Ben_F!$A$2,IF(COUNTIF(Ben_F!Q:Q,S37)=1,_xlfn.XLOOKUP(S37,Ben_F!Q:Q,Ben_F!$A:$A),INDEX(Ben_F!$A:$A,MATCH(S37,Ben_F!Q:Q,-1)+1))),IF(S37&gt;Ben_G!Q$2,Ben_G!$A$2,IF(COUNTIF(Ben_G!Q:Q,S37)=1,_xlfn.XLOOKUP(S37,Ben_G!Q:Q,Ben_G!$A:$A),INDEX(Ben_G!$A:$A,MATCH(S37,Ben_G!Q:Q,-1)+1)))))))))&amp;IF(S37="",""," pt(s)"))</f>
        <v/>
      </c>
      <c r="T38" s="136"/>
      <c r="U38" s="211"/>
      <c r="V38" s="126"/>
      <c r="W38" s="127"/>
      <c r="X38" s="80"/>
    </row>
    <row r="39" spans="1:24" ht="30" customHeight="1" thickTop="1" x14ac:dyDescent="0.3">
      <c r="A39" s="141">
        <v>9</v>
      </c>
      <c r="B39" s="143"/>
      <c r="C39" s="143"/>
      <c r="D39" s="152"/>
      <c r="E39" s="103" t="str">
        <f t="shared" ref="E39" si="28">IF(D39="","",IF(D39="F","BF","BG"))</f>
        <v/>
      </c>
      <c r="F39" s="98"/>
      <c r="G39" s="89"/>
      <c r="H39" s="88"/>
      <c r="I39" s="89"/>
      <c r="J39" s="88"/>
      <c r="K39" s="99"/>
      <c r="L39" s="40"/>
      <c r="M39" s="40"/>
      <c r="N39" s="40"/>
      <c r="O39" s="41"/>
      <c r="P39" s="42"/>
      <c r="Q39" s="40"/>
      <c r="R39" s="40"/>
      <c r="S39" s="41"/>
      <c r="T39" s="132"/>
      <c r="U39" s="211" t="str">
        <f t="shared" ref="U39" si="29">IF(T39="","",IF(E39="","",E39))</f>
        <v/>
      </c>
      <c r="V39" s="124" t="str">
        <f t="shared" ref="V39" si="30">IF(AND(E39="",COUNTA(F39:T39)&gt;0),"manque catégorie",IF(E39="","",IF(COUNTA(F39:T39)=0,"NON",IF(COUNTA(F39:S39)&gt;3,"NON",IF(COUNTA(F39:K39)&gt;1,"NON",IF(COUNTA(L39:O39)&gt;1,"NON",IF(COUNTA(P39:S39)&gt;1,"NON",IF(AND(COUNTA(T39)=1,COUNTA(F39:S39)=0),"NON","OUI"))))))))</f>
        <v/>
      </c>
      <c r="W39" s="125"/>
      <c r="X39" s="80" t="str">
        <f t="shared" ref="X39" si="31">IF(V39="","",IF(V39="manque catégorie","NON",IF(V39="NON","NON","OUI")))</f>
        <v/>
      </c>
    </row>
    <row r="40" spans="1:24" ht="30" customHeight="1" thickBot="1" x14ac:dyDescent="0.35">
      <c r="A40" s="142"/>
      <c r="B40" s="144"/>
      <c r="C40" s="144"/>
      <c r="D40" s="187"/>
      <c r="E40" s="193"/>
      <c r="F40" s="97" t="str" cm="1">
        <f t="array" ref="F40">IF(AND($D39="",F39&lt;&gt;""),"Genre?",IF(F39="","",IF(F39="x",0,IF(F39="DSQ",1,IF(F39="ABD",1,IF(F39="NP",0,IF($D39="F",IF(F39&lt;Ben_F!B$2,Ben_F!$A$2,IF(COUNTIF(Ben_F!B:B,F39)=1,_xlfn.XLOOKUP(F39,Ben_F!B:B,Ben_F!$A:$A),INDEX(Ben_F!$A:$A,MATCH(F39,Ben_F!B:B)+1))),IF(F39&lt;Ben_G!B$2,Ben_G!$A$2,IF(COUNTIF(Ben_G!B:B,F39)=1,_xlfn.XLOOKUP(F39,Ben_G!B:B,Ben_G!$A:$A),INDEX(Ben_G!$A:$A,MATCH(F39,Ben_G!B:B)+1)))))))))&amp;IF(F39="",""," pt(s)"))</f>
        <v/>
      </c>
      <c r="G40" s="91"/>
      <c r="H40" s="90" t="str" cm="1">
        <f t="array" ref="H40">IF(AND($D39="",H39&lt;&gt;""),"Genre?",IF(H39="","",IF(H39="x",0,IF(H39="DSQ",1,IF(H39="ABD",1,IF(H39="NP",0,IF($D39="F",IF(H39&lt;Ben_F!G$2,Ben_F!$A$2,IF(COUNTIF(Ben_F!G:G,H39)=1,_xlfn.XLOOKUP(H39,Ben_F!G:G,Ben_F!$A:$A),INDEX(Ben_F!$A:$A,MATCH(H39,Ben_F!G:G)+1))),IF(H39&lt;Ben_G!G$2,Ben_G!$A$2,IF(COUNTIF(Ben_G!G:G,H39)=1,_xlfn.XLOOKUP(H39,Ben_G!G:G,Ben_G!$A:$A),INDEX(Ben_G!$A:$A,MATCH(H39,Ben_G!G:G)+1)))))))))&amp;IF(H39="",""," pt(s)"))</f>
        <v/>
      </c>
      <c r="I40" s="91"/>
      <c r="J40" s="90" t="str" cm="1">
        <f t="array" ref="J40">IF(AND($D39="",J39&lt;&gt;""),"Genre?",IF(J39="","",IF(J39="x",0,IF(J39="DSQ",1,IF(J39="ABD",1,IF(J39="NP",0,IF($D39="F",IF(J39&lt;Ben_F!D$2,Ben_F!$A$2,IF(COUNTIF(Ben_F!D:D,J39)=1,_xlfn.XLOOKUP(J39,Ben_F!D:D,Ben_F!$A:$A),INDEX(Ben_F!$A:$A,MATCH(J39,Ben_F!D:D)+1))),IF(J39&lt;Ben_G!D$2,Ben_G!$A$2,IF(COUNTIF(Ben_G!D:D,J39)=1,_xlfn.XLOOKUP(J39,Ben_G!D:D,Ben_G!$A:$A),INDEX(Ben_G!$A:$A,MATCH(J39,Ben_G!D:D)+1)))))))))&amp;IF(J39="",""," pt(s)"))</f>
        <v/>
      </c>
      <c r="K40" s="100"/>
      <c r="L40" s="74" t="str" cm="1">
        <f t="array" ref="L40">IF(AND($D39="",L39&lt;&gt;""),"Genre?",IF(L39="","",IF(L39="x",0,IF(L39="DSQ",1,IF(L39="ABD",1,IF(L39="NP",0,IF($D39="F",IF(L39&gt;Ben_F!J$2,Ben_F!$A$2,IF(COUNTIF(Ben_F!J:J,L39)=1,_xlfn.XLOOKUP(L39,Ben_F!J:J,Ben_F!$A:$A),INDEX(Ben_F!$A:$A,MATCH(L39,Ben_F!J:J,-1)+1))),IF(L39&gt;Ben_G!J$2,Ben_G!$A$2,IF(COUNTIF(Ben_G!J:J,L39)=1,_xlfn.XLOOKUP(L39,Ben_G!J:J,Ben_G!$A:$A),INDEX(Ben_G!$A:$A,MATCH(L39,Ben_G!J:J,-1)+1)))))))))&amp;IF(L39="",""," pt(s)"))</f>
        <v/>
      </c>
      <c r="M40" s="74" t="str" cm="1">
        <f t="array" ref="M40">IF(AND($D39="",M39&lt;&gt;""),"Genre?",IF(M39="","",IF(M39="x",0,IF(M39="DSQ",1,IF(M39="ABD",1,IF(M39="NP",0,IF($D39="F",IF(M39&gt;Ben_F!K$2,Ben_F!$A$2,IF(COUNTIF(Ben_F!K:K,M39)=1,_xlfn.XLOOKUP(M39,Ben_F!K:K,Ben_F!$A:$A),INDEX(Ben_F!$A:$A,MATCH(M39,Ben_F!K:K,-1)+1))),IF(M39&gt;Ben_G!K$2,Ben_G!$A$2,IF(COUNTIF(Ben_G!K:K,M39)=1,_xlfn.XLOOKUP(M39,Ben_G!K:K,Ben_G!$A:$A),INDEX(Ben_G!$A:$A,MATCH(M39,Ben_G!K:K,-1)+1)))))))))&amp;IF(M39="",""," pt(s)"))</f>
        <v/>
      </c>
      <c r="N40" s="74" t="str" cm="1">
        <f t="array" ref="N40">IF(AND($D39="",N39&lt;&gt;""),"Genre?",IF(N39="","",IF(N39="x",0,IF(N39="DSQ",1,IF(N39="ABD",1,IF(N39="NP",0,IF($D39="F",IF(N39&gt;Ben_F!L$2,Ben_F!$A$2,IF(COUNTIF(Ben_F!L:L,N39)=1,_xlfn.XLOOKUP(N39,Ben_F!L:L,Ben_F!$A:$A),INDEX(Ben_F!$A:$A,MATCH(N39,Ben_F!L:L,-1)+1))),IF(N39&gt;Ben_G!L$2,Ben_G!$A$2,IF(COUNTIF(Ben_G!L:L,N39)=1,_xlfn.XLOOKUP(N39,Ben_G!L:L,Ben_G!$A:$A),INDEX(Ben_G!$A:$A,MATCH(N39,Ben_G!L:L,-1)+1)))))))))&amp;IF(N39="",""," pt(s)"))</f>
        <v/>
      </c>
      <c r="O40" s="75" t="str" cm="1">
        <f t="array" ref="O40">IF(AND($D39="",O39&lt;&gt;""),"Genre?",IF(O39="","",IF(O39="x",0,IF(O39="DSQ",1,IF(O39="ABD",1,IF(O39="NP",0,IF($D39="F",IF(O39&gt;Ben_F!M$2,Ben_F!$A$2,IF(COUNTIF(Ben_F!M:M,O39)=1,_xlfn.XLOOKUP(O39,Ben_F!M:M,Ben_F!$A:$A),INDEX(Ben_F!$A:$A,MATCH(O39,Ben_F!M:M,-1)+1))),IF(O39&gt;Ben_G!M$2,Ben_G!$A$2,IF(COUNTIF(Ben_G!M:M,O39)=1,_xlfn.XLOOKUP(O39,Ben_G!M:M,Ben_G!$A:$A),INDEX(Ben_G!$A:$A,MATCH(O39,Ben_G!M:M,-1)+1)))))))))&amp;IF(O39="",""," pt(s)"))</f>
        <v/>
      </c>
      <c r="P40" s="76" t="str" cm="1">
        <f t="array" ref="P40">IF(AND($D39="",P39&lt;&gt;""),"Genre?",IF(P39="","",IF(P39="x",0,IF(P39="DSQ",1,IF(P39="ABD",1,IF(P39="NP",0,IF($D39="F",IF(P39&gt;Ben_F!N$2,Ben_F!$A$2,IF(COUNTIF(Ben_F!N:N,P39)=1,_xlfn.XLOOKUP(P39,Ben_F!N:N,Ben_F!$A:$A),INDEX(Ben_F!$A:$A,MATCH(P39,Ben_F!N:N,-1)+1))),IF(P39&gt;Ben_G!N$2,Ben_G!$A$2,IF(COUNTIF(Ben_G!N:N,P39)=1,_xlfn.XLOOKUP(P39,Ben_G!N:N,Ben_G!$A:$A),INDEX(Ben_G!$A:$A,MATCH(P39,Ben_G!N:N,-1)+1)))))))))&amp;IF(P39="",""," pt(s)"))</f>
        <v/>
      </c>
      <c r="Q40" s="74" t="str" cm="1">
        <f t="array" ref="Q40">IF(AND($D39="",Q39&lt;&gt;""),"Genre?",IF(Q39="","",IF(Q39="x",0,IF(Q39="DSQ",1,IF(Q39="ABD",1,IF(Q39="NP",0,IF($D39="F",IF(Q39&gt;Ben_F!O$2,Ben_F!$A$2,IF(COUNTIF(Ben_F!O:O,Q39)=1,_xlfn.XLOOKUP(Q39,Ben_F!O:O,Ben_F!$A:$A),INDEX(Ben_F!$A:$A,MATCH(Q39,Ben_F!O:O,-1)+1))),IF(Q39&gt;Ben_G!O$2,Ben_G!$A$2,IF(COUNTIF(Ben_G!O:O,Q39)=1,_xlfn.XLOOKUP(Q39,Ben_G!O:O,Ben_G!$A:$A),INDEX(Ben_G!$A:$A,MATCH(Q39,Ben_G!O:O,-1)+1)))))))))&amp;IF(Q39="",""," pt(s)"))</f>
        <v/>
      </c>
      <c r="R40" s="74" t="str" cm="1">
        <f t="array" ref="R40">IF(AND($D39="",R39&lt;&gt;""),"Genre?",IF(R39="","",IF(R39="x",0,IF(R39="DSQ",1,IF(R39="ABD",1,IF(R39="NP",0,IF($D39="F",IF(R39&gt;Ben_F!P$2,Ben_F!$A$2,IF(COUNTIF(Ben_F!P:P,R39)=1,_xlfn.XLOOKUP(R39,Ben_F!P:P,Ben_F!$A:$A),INDEX(Ben_F!$A:$A,MATCH(R39,Ben_F!P:P,-1)+1))),IF(R39&gt;Ben_G!P$2,Ben_G!$A$2,IF(COUNTIF(Ben_G!P:P,R39)=1,_xlfn.XLOOKUP(R39,Ben_G!P:P,Ben_G!$A:$A),INDEX(Ben_G!$A:$A,MATCH(R39,Ben_G!P:P,-1)+1)))))))))&amp;IF(R39="",""," pt(s)"))</f>
        <v/>
      </c>
      <c r="S40" s="75" t="str" cm="1">
        <f t="array" ref="S40">IF(AND($D39="",S39&lt;&gt;""),"Genre?",IF(S39="","",IF(S39="x",0,IF(S39="DSQ",1,IF(S39="ABD",1,IF(S39="NP",0,IF($D39="F",IF(S39&gt;Ben_F!Q$2,Ben_F!$A$2,IF(COUNTIF(Ben_F!Q:Q,S39)=1,_xlfn.XLOOKUP(S39,Ben_F!Q:Q,Ben_F!$A:$A),INDEX(Ben_F!$A:$A,MATCH(S39,Ben_F!Q:Q,-1)+1))),IF(S39&gt;Ben_G!Q$2,Ben_G!$A$2,IF(COUNTIF(Ben_G!Q:Q,S39)=1,_xlfn.XLOOKUP(S39,Ben_G!Q:Q,Ben_G!$A:$A),INDEX(Ben_G!$A:$A,MATCH(S39,Ben_G!Q:Q,-1)+1)))))))))&amp;IF(S39="",""," pt(s)"))</f>
        <v/>
      </c>
      <c r="T40" s="133"/>
      <c r="U40" s="211"/>
      <c r="V40" s="209"/>
      <c r="W40" s="210"/>
      <c r="X40" s="80"/>
    </row>
    <row r="41" spans="1:24" ht="30" hidden="1" customHeight="1" thickTop="1" thickBot="1" x14ac:dyDescent="0.35">
      <c r="T41" s="5" t="str">
        <f>IF($T21="","NON",IF(COUNTA(T23:T40)=0,"NON",IF(COUNTA(T23:T40)&lt;4,"NON",IF(COUNTIF(T23:T40,"x")&gt;6,"NON",IF(COUNTA(T23:T40)&gt;6,"NON",IF(AND(T21="BG",COUNTIF(U23:U40,"BG")&lt;4),"NON",IF(AND(T21="BG",COUNTIF(U23:U40,"BG")&gt;6),"NON",IF(AND(T21="BG",COUNTIF(U23:U40,"BF")&gt;0),"NON",IF(AND(T21="BF",COUNTIF(U23:U40,"BF")&lt;4),"NON",IF(AND(T21="BF",COUNTIF(U23:U40,"BF")&gt;6),"NON",IF(AND(T21="BF",COUNTIF(U23:U40,"BG")&gt;0),"NON",IF(AND(T21="MIXTE",OR(COUNTIF(U23:U40,"BF")&lt;2,COUNTIF(U23:U40,"BF")&gt;3,COUNTIF(U23:U40,"BG")&lt;2,COUNTIF(U23:U40,"BG")&gt;3)),"NON",IF(COUNTIF(T23:T40,"DSQ")=COUNTA(T23:T40),"OUI",IF(AND(COUNTIF(T23:T40,"DSQ")&gt;0,COUNTIF(T23:T40,"DSQ")&lt;&gt;COUNTA(T23:T40)),"NON",IF(COUNTIF(T23:T40,"ABD")=COUNTA(T23:T40),"OUI",IF(AND(COUNTIF(T23:T40,"ABD")&gt;0,COUNTIF(T23:T40,"ABD")&lt;&gt;COUNTA(T23:T40)),"NON",IF(COUNTIF(T23:T40,"NP")=COUNTA(T23:T40),"OUI",IF(AND(COUNTIF(T23:T40,"NP")&gt;0,COUNTIF(T23:T40,"NP")&lt;&gt;COUNTA(T23:T40)),"NON",IF(COUNTIF(T23:T40,"x")=6,"OUI",IF(AND(COUNTIF(T23:T40,"x")=5,COUNTA(T23:T40)=5),"OUI",IF(AND(COUNTIF(T23:T40,"x")=4,COUNTA(T23:T40)=4),"OUI",IF(AND(COUNTIF(T23:T40,"x")=5,COUNTA(T23:T40)&gt;5),"NON",IF(AND(COUNTIF(T23:T40,"x")=4,COUNTA(T23:T40)&gt;4),"NON",IF(AND(COUNTIF(T23:T40,"x")=3,COUNTA(T23:T40)&gt;3),"NON",IF(AND(COUNTIF(T23:T40,"x")=2,COUNTA(T23:T40)&gt;2),"NON",IF(AND(COUNTIF(T23:T40,"x")=1,COUNTA(T23:T40)&gt;1),"NON",IF((_xlfn.XLOOKUP(AVERAGE(T23:T40),T23:T40,T23:T40,0,0,1)&lt;&gt;AVERAGE(T23:T40)),"NON","OUI")))))))))))))))))))))))))))</f>
        <v>NON</v>
      </c>
      <c r="V41" s="73"/>
      <c r="W41" s="73"/>
    </row>
    <row r="42" spans="1:24" ht="15.6" thickTop="1" thickBot="1" x14ac:dyDescent="0.35">
      <c r="C42" s="186" t="s">
        <v>27</v>
      </c>
      <c r="D42" s="186"/>
      <c r="E42" s="186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1"/>
      <c r="T42" s="43" t="str">
        <f>IF(T41="OUI","OUI","NON")</f>
        <v>NON</v>
      </c>
      <c r="U42" s="5"/>
    </row>
    <row r="43" spans="1:24" ht="15.6" thickTop="1" thickBot="1" x14ac:dyDescent="0.35">
      <c r="C43" s="189" t="s">
        <v>57</v>
      </c>
      <c r="D43" s="189"/>
      <c r="E43" s="190"/>
      <c r="F43" s="81" t="str">
        <f>IF(COUNTA(F23:K23,F25:K25,F27:K27,F29:K29,F33:K33,F35:K35,F37:K37,F39:K39)&gt;=2,"OUI","NON")</f>
        <v>NON</v>
      </c>
      <c r="G43" s="83"/>
      <c r="H43" s="83"/>
      <c r="I43" s="83"/>
      <c r="J43" s="83"/>
      <c r="K43" s="82"/>
      <c r="L43" s="81" t="str">
        <f>IF(COUNTA(L23:O23,L25:O25,L27:O27,L29:O29,L33:O33,L35:O35,L37:O37,L39:O39)&gt;=2,"OUI","NON")</f>
        <v>NON</v>
      </c>
      <c r="M43" s="83"/>
      <c r="N43" s="83"/>
      <c r="O43" s="82"/>
      <c r="P43" s="81" t="str">
        <f>IF(COUNTA(P23:S23,P25:S25,P27:S27,P29:S29,P33:S33,P35:S35,P37:S37,P39:S39)&gt;=2,"OUI","NON")</f>
        <v>NON</v>
      </c>
      <c r="Q43" s="83"/>
      <c r="R43" s="83"/>
      <c r="S43" s="82"/>
      <c r="U43" s="5"/>
    </row>
    <row r="44" spans="1:24" ht="15.6" hidden="1" thickTop="1" thickBot="1" x14ac:dyDescent="0.35">
      <c r="C44" s="128" t="s">
        <v>59</v>
      </c>
      <c r="D44" s="128"/>
      <c r="E44" s="129"/>
      <c r="F44" s="81">
        <f>COUNTA(F23:G23,F25:G25,F27:G27,F29:G29,F31:G31,F33:G33,F35:G35,F37:G37,F39:G39)</f>
        <v>0</v>
      </c>
      <c r="G44" s="83"/>
      <c r="H44" s="83">
        <f>COUNTA(H23:I23,H25:I25,H27:I27,H29:I29,H31:I31,H33:I33,H35:I35,H37:I37,H39:I39)</f>
        <v>0</v>
      </c>
      <c r="I44" s="83"/>
      <c r="J44" s="83">
        <f>COUNTA(J23:K23,J25:K25,J27:K27,J29:K29,J31:K31,J33:K33,J35:K35,J37:K37,J39:K39)</f>
        <v>0</v>
      </c>
      <c r="K44" s="82"/>
      <c r="L44" s="65">
        <f>COUNTA(L23,L25,L27,L29,L31,L33,L35,L37,L39)</f>
        <v>0</v>
      </c>
      <c r="M44" s="66">
        <f t="shared" ref="M44:S44" si="32">COUNTA(M23,M25,M27,M29,M31,M33,M35,M37,M39)</f>
        <v>0</v>
      </c>
      <c r="N44" s="66">
        <f t="shared" si="32"/>
        <v>0</v>
      </c>
      <c r="O44" s="67">
        <f t="shared" si="32"/>
        <v>0</v>
      </c>
      <c r="P44" s="65">
        <f t="shared" si="32"/>
        <v>0</v>
      </c>
      <c r="Q44" s="66">
        <f t="shared" si="32"/>
        <v>0</v>
      </c>
      <c r="R44" s="66">
        <f>COUNTA(R23,R25,R27,R29,R31,R33,R35,R37,R39)</f>
        <v>0</v>
      </c>
      <c r="S44" s="67">
        <f t="shared" si="32"/>
        <v>0</v>
      </c>
      <c r="T44" s="5"/>
      <c r="U44" s="5"/>
    </row>
    <row r="45" spans="1:24" ht="15.6" thickTop="1" thickBot="1" x14ac:dyDescent="0.35">
      <c r="C45" s="128" t="s">
        <v>58</v>
      </c>
      <c r="D45" s="128"/>
      <c r="E45" s="129"/>
      <c r="F45" s="81" t="str">
        <f>IF(F43="NON","NON",IF(AND(F44&gt;=1,H44&gt;=1),"OUI",IF(AND(F44&gt;=1,J44&gt;=1),"OUI",IF(AND(H44&gt;=1,J44&gt;=1),"OUI","NON"))))</f>
        <v>NON</v>
      </c>
      <c r="G45" s="83"/>
      <c r="H45" s="83"/>
      <c r="I45" s="83"/>
      <c r="J45" s="83"/>
      <c r="K45" s="82"/>
      <c r="L45" s="81" t="str">
        <f>IF(L43="NON","NON",IF(AND(L44&gt;=1,M44&gt;=1),"OUI",IF(AND(L44&gt;=1,N44&gt;=1),"OUI",IF(AND(L44&gt;=1,O44&gt;=1),"OUI",IF(AND(M44&gt;=1,N44&gt;=1),"OUI",IF(AND(M44&gt;=1,O44&gt;=1),"OUI",IF(AND(N44&gt;=1,O44&gt;=1),"OUI","NON")))))))</f>
        <v>NON</v>
      </c>
      <c r="M45" s="83"/>
      <c r="N45" s="83"/>
      <c r="O45" s="82"/>
      <c r="P45" s="81" t="str">
        <f>IF(P43="NON","NON",IF(AND(P44&gt;=1,Q44&gt;=1),"OUI",IF(AND(P44&gt;=1,R44&gt;=1),"OUI",IF(AND(P44&gt;=1,S44&gt;=1),"OUI",IF(AND(Q44&gt;=1,R44&gt;=1),"OUI",IF(AND(Q44&gt;=1,S44&gt;=1),"OUI",IF(AND(R44&gt;=1,S44&gt;=1),"OUI","NON")))))))</f>
        <v>NON</v>
      </c>
      <c r="Q45" s="83"/>
      <c r="R45" s="83"/>
      <c r="S45" s="82"/>
      <c r="T45" s="5"/>
      <c r="U45" s="5"/>
    </row>
    <row r="46" spans="1:24" ht="15" customHeight="1" thickTop="1" thickBot="1" x14ac:dyDescent="0.35">
      <c r="C46" s="191" t="s">
        <v>63</v>
      </c>
      <c r="D46" s="191"/>
      <c r="E46" s="192"/>
      <c r="F46" s="81" t="str">
        <f>IF(F45="NON","NON",IF(SUM(F44:K44)&gt;6,"NON","OUI"))</f>
        <v>NON</v>
      </c>
      <c r="G46" s="83"/>
      <c r="H46" s="83"/>
      <c r="I46" s="83"/>
      <c r="J46" s="83"/>
      <c r="K46" s="82"/>
      <c r="L46" s="81" t="str">
        <f>IF(L45="NON","NON",IF(SUM(L44:O44)&gt;6,"NON","OUI"))</f>
        <v>NON</v>
      </c>
      <c r="M46" s="83"/>
      <c r="N46" s="83"/>
      <c r="O46" s="82"/>
      <c r="P46" s="81" t="str">
        <f>IF(P45="NON","NON",IF(SUM(P44:S44)&gt;6,"NON","OUI"))</f>
        <v>NON</v>
      </c>
      <c r="Q46" s="83"/>
      <c r="R46" s="83"/>
      <c r="S46" s="82"/>
      <c r="T46" s="1"/>
      <c r="U46" s="1"/>
    </row>
    <row r="47" spans="1:24" ht="15" customHeight="1" thickTop="1" thickBot="1" x14ac:dyDescent="0.35">
      <c r="C47" s="197" t="s">
        <v>64</v>
      </c>
      <c r="D47" s="197"/>
      <c r="E47" s="198"/>
      <c r="F47" s="81" t="str">
        <f>IF(F46="NON","NON",IF(F44&lt;=3,"OUI","NON"))</f>
        <v>NON</v>
      </c>
      <c r="G47" s="82"/>
      <c r="H47" s="81" t="str">
        <f>IF(F46="NON","NON",IF(H44&lt;=3,"OUI","NON"))</f>
        <v>NON</v>
      </c>
      <c r="I47" s="82"/>
      <c r="J47" s="81" t="str">
        <f>IF(F46="NON","NON",IF(J44&lt;=3,"OUI","NON"))</f>
        <v>NON</v>
      </c>
      <c r="K47" s="82"/>
      <c r="L47" s="65" t="str">
        <f>IF(L46="NON","NON",IF(L44&lt;=3,"OUI","NON"))</f>
        <v>NON</v>
      </c>
      <c r="M47" s="65" t="str">
        <f>IF(L46="NON","NON",IF(M44&lt;=3,"OUI","NON"))</f>
        <v>NON</v>
      </c>
      <c r="N47" s="65" t="str">
        <f>IF(L46="NON","NON",IF(N44&lt;=3,"OUI","NON"))</f>
        <v>NON</v>
      </c>
      <c r="O47" s="65" t="str">
        <f>IF(L46="NON","NON",IF(O44&lt;=3,"OUI","NON"))</f>
        <v>NON</v>
      </c>
      <c r="P47" s="65" t="str">
        <f>IF(P46="NON","NON",IF(P44&lt;=3,"OUI","NON"))</f>
        <v>NON</v>
      </c>
      <c r="Q47" s="65" t="str">
        <f>IF(P46="NON","NON",IF(Q44&lt;=3,"OUI","NON"))</f>
        <v>NON</v>
      </c>
      <c r="R47" s="65" t="str">
        <f>IF(P46="NON","NON",IF(R44&lt;=3,"OUI","NON"))</f>
        <v>NON</v>
      </c>
      <c r="S47" s="8" t="str">
        <f>IF(P46="NON","NON",IF(S44&lt;=3,"OUI","NON"))</f>
        <v>NON</v>
      </c>
      <c r="T47" s="1"/>
      <c r="U47" s="1"/>
    </row>
    <row r="48" spans="1:24" ht="15" customHeight="1" thickTop="1" thickBot="1" x14ac:dyDescent="0.35">
      <c r="B48" s="1"/>
      <c r="C48" s="188" t="s">
        <v>56</v>
      </c>
      <c r="D48" s="188"/>
      <c r="E48" s="188"/>
      <c r="F48" s="69">
        <f>IF(T42="OUI",1+COUNTA(F23:S23,F25:S25,F27:S27,F29:S29,F31:S31,F33:S33,F35:S35,F37:S37,F39:S39),COUNTA(F23:S23,F25:S25,F27:S27,F29:S29,F31:S31,F33:S33,F35:S35,F37:S37,F39:S39))</f>
        <v>0</v>
      </c>
      <c r="G48" s="81" t="str">
        <f>IF(T42="NON","NON",IF(F48=16,"OUI",IF(F48=17,"OUI",IF(F48=18,"OUI",IF(F48=19,"OUI","NON")))))</f>
        <v>NON</v>
      </c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2"/>
      <c r="T48" s="7"/>
      <c r="U48" s="1"/>
    </row>
    <row r="49" spans="3:23" ht="15" hidden="1" thickTop="1" x14ac:dyDescent="0.3">
      <c r="F49" s="33">
        <v>1</v>
      </c>
      <c r="G49" s="33"/>
      <c r="H49" s="33">
        <v>2</v>
      </c>
      <c r="I49" s="33"/>
      <c r="J49" s="33">
        <v>3</v>
      </c>
      <c r="K49" s="33"/>
      <c r="L49" s="33">
        <v>4</v>
      </c>
      <c r="M49" s="33">
        <v>5</v>
      </c>
      <c r="N49" s="33">
        <v>6</v>
      </c>
      <c r="O49" s="33">
        <v>7</v>
      </c>
      <c r="P49" s="33">
        <v>8</v>
      </c>
      <c r="Q49" s="33">
        <v>9</v>
      </c>
      <c r="R49" s="33">
        <v>10</v>
      </c>
      <c r="S49" s="33">
        <v>11</v>
      </c>
      <c r="T49" s="64" t="s">
        <v>68</v>
      </c>
      <c r="U49" s="64"/>
      <c r="V49" s="71"/>
      <c r="W49" s="64">
        <f>F51+G51+L51+M51+P51+Q51+T62+T54</f>
        <v>0</v>
      </c>
    </row>
    <row r="50" spans="3:23" hidden="1" x14ac:dyDescent="0.3">
      <c r="C50" s="170" t="s">
        <v>66</v>
      </c>
      <c r="D50" s="170"/>
      <c r="E50" s="170"/>
      <c r="F50" s="5">
        <f>LARGE($F$52:$F$60,1)</f>
        <v>0</v>
      </c>
      <c r="G50" s="5"/>
      <c r="H50" s="5">
        <f>LARGE($H$52:$H$60,1)</f>
        <v>0</v>
      </c>
      <c r="I50" s="5"/>
      <c r="J50" s="5">
        <f>LARGE($J$52:$J$60,1)</f>
        <v>0</v>
      </c>
      <c r="K50" s="5"/>
      <c r="L50" s="5">
        <f>LARGE($L$52:$L$60,1)</f>
        <v>0</v>
      </c>
      <c r="M50" s="5">
        <f>LARGE($M$52:$M$60,1)</f>
        <v>0</v>
      </c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 t="s">
        <v>41</v>
      </c>
      <c r="U50" s="5"/>
      <c r="W50" s="63" t="e">
        <f>IF(AND(_xlfn.NUMBERVALUE(SUBSTITUTE(T19," pt(s)",""))&gt;=0,_xlfn.NUMBERVALUE(SUBSTITUTE(T19," pt(s)",""))&lt;=50),_xlfn.NUMBERVALUE(SUBSTITUTE(T19," pt(s)","")),0)</f>
        <v>#VALUE!</v>
      </c>
    </row>
    <row r="51" spans="3:23" hidden="1" x14ac:dyDescent="0.3">
      <c r="C51" s="170" t="s">
        <v>67</v>
      </c>
      <c r="D51" s="170"/>
      <c r="E51" s="170"/>
      <c r="F51" s="63">
        <f>LARGE($F$50:$K$50,1)</f>
        <v>0</v>
      </c>
      <c r="G51" s="63">
        <f>LARGE($F$50:$K$50,2)</f>
        <v>0</v>
      </c>
      <c r="H51" s="63"/>
      <c r="I51" s="63"/>
      <c r="J51" s="63"/>
      <c r="K51" s="63"/>
      <c r="L51" s="63">
        <f>LARGE($L$50:$O$50,1)</f>
        <v>0</v>
      </c>
      <c r="M51" s="63">
        <f>LARGE($L$50:$O$50,2)</f>
        <v>0</v>
      </c>
      <c r="N51" s="63"/>
      <c r="O51" s="63"/>
      <c r="P51" s="63">
        <f>LARGE($P$50:$S$50,1)</f>
        <v>0</v>
      </c>
      <c r="Q51" s="63">
        <f>LARGE($P$50:$S$50,2)</f>
        <v>0</v>
      </c>
      <c r="R51" s="63"/>
      <c r="S51" s="63"/>
      <c r="T51" s="5"/>
      <c r="U51" s="5"/>
      <c r="W51" s="63"/>
    </row>
    <row r="52" spans="3:23" hidden="1" x14ac:dyDescent="0.3">
      <c r="D52" s="33"/>
      <c r="E52" s="5"/>
      <c r="F52" s="5">
        <f>_xlfn.NUMBERVALUE(IF(F24="",0,SUBSTITUTE(F24," pt(s)","")))</f>
        <v>0</v>
      </c>
      <c r="G52" s="5"/>
      <c r="H52" s="5">
        <f t="shared" ref="H52:S52" si="33">_xlfn.NUMBERVALUE(IF(H24="",0,SUBSTITUTE(H24," pt(s)","")))</f>
        <v>0</v>
      </c>
      <c r="I52" s="5"/>
      <c r="J52" s="5">
        <f t="shared" si="33"/>
        <v>0</v>
      </c>
      <c r="K52" s="5"/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</row>
    <row r="53" spans="3:23" hidden="1" x14ac:dyDescent="0.3">
      <c r="D53" s="33"/>
      <c r="E53" s="5"/>
      <c r="F53" s="5">
        <f>_xlfn.NUMBERVALUE(IF(F26="",0,SUBSTITUTE(F26," pt(s)","")))</f>
        <v>0</v>
      </c>
      <c r="G53" s="5"/>
      <c r="H53" s="5">
        <f t="shared" ref="H53:S53" si="34">_xlfn.NUMBERVALUE(IF(H26="",0,SUBSTITUTE(H26," pt(s)","")))</f>
        <v>0</v>
      </c>
      <c r="I53" s="5"/>
      <c r="J53" s="5">
        <f t="shared" si="34"/>
        <v>0</v>
      </c>
      <c r="K53" s="5"/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72" t="s">
        <v>49</v>
      </c>
      <c r="U53" s="72"/>
    </row>
    <row r="54" spans="3:23" hidden="1" x14ac:dyDescent="0.3">
      <c r="D54" s="33"/>
      <c r="E54" s="5"/>
      <c r="F54" s="5">
        <f>_xlfn.NUMBERVALUE(IF(F28="",0,SUBSTITUTE(F28," pt(s)","")))</f>
        <v>0</v>
      </c>
      <c r="G54" s="5"/>
      <c r="H54" s="5">
        <f t="shared" ref="H54:S54" si="35">_xlfn.NUMBERVALUE(IF(H28="",0,SUBSTITUTE(H28," pt(s)","")))</f>
        <v>0</v>
      </c>
      <c r="I54" s="5"/>
      <c r="J54" s="5">
        <f t="shared" si="35"/>
        <v>0</v>
      </c>
      <c r="K54" s="5"/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63">
        <f>IFERROR(W50,0)</f>
        <v>0</v>
      </c>
      <c r="U54" s="63"/>
    </row>
    <row r="55" spans="3:23" hidden="1" x14ac:dyDescent="0.3">
      <c r="D55" s="33"/>
      <c r="E55" s="5"/>
      <c r="F55" s="5">
        <f>_xlfn.NUMBERVALUE(IF(F30="",0,SUBSTITUTE(F30," pt(s)","")))</f>
        <v>0</v>
      </c>
      <c r="G55" s="5"/>
      <c r="H55" s="5">
        <f t="shared" ref="H55:S55" si="36">_xlfn.NUMBERVALUE(IF(H30="",0,SUBSTITUTE(H30," pt(s)","")))</f>
        <v>0</v>
      </c>
      <c r="I55" s="5"/>
      <c r="J55" s="5">
        <f t="shared" si="36"/>
        <v>0</v>
      </c>
      <c r="K55" s="5"/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</row>
    <row r="56" spans="3:23" hidden="1" x14ac:dyDescent="0.3">
      <c r="D56" s="33"/>
      <c r="E56" s="5"/>
      <c r="F56" s="5">
        <f>_xlfn.NUMBERVALUE(IF(F32="",0,SUBSTITUTE(F32," pt(s)","")))</f>
        <v>0</v>
      </c>
      <c r="G56" s="5"/>
      <c r="H56" s="5">
        <f t="shared" ref="H56:S56" si="37">_xlfn.NUMBERVALUE(IF(H32="",0,SUBSTITUTE(H32," pt(s)","")))</f>
        <v>0</v>
      </c>
      <c r="I56" s="5"/>
      <c r="J56" s="5">
        <f t="shared" si="37"/>
        <v>0</v>
      </c>
      <c r="K56" s="5"/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</row>
    <row r="57" spans="3:23" hidden="1" x14ac:dyDescent="0.3">
      <c r="D57" s="33"/>
      <c r="E57" s="5"/>
      <c r="F57" s="5">
        <f>_xlfn.NUMBERVALUE(IF(F34="",0,SUBSTITUTE(F34," pt(s)","")))</f>
        <v>0</v>
      </c>
      <c r="G57" s="5"/>
      <c r="H57" s="5">
        <f t="shared" ref="H57:S57" si="38">_xlfn.NUMBERVALUE(IF(H34="",0,SUBSTITUTE(H34," pt(s)","")))</f>
        <v>0</v>
      </c>
      <c r="I57" s="5"/>
      <c r="J57" s="5">
        <f t="shared" si="38"/>
        <v>0</v>
      </c>
      <c r="K57" s="5"/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</row>
    <row r="58" spans="3:23" hidden="1" x14ac:dyDescent="0.3">
      <c r="D58" s="33"/>
      <c r="E58" s="5"/>
      <c r="F58" s="5">
        <f>_xlfn.NUMBERVALUE(IF(F36="",0,SUBSTITUTE(F36," pt(s)","")))</f>
        <v>0</v>
      </c>
      <c r="G58" s="5"/>
      <c r="H58" s="5">
        <f t="shared" ref="H58:S58" si="39">_xlfn.NUMBERVALUE(IF(H36="",0,SUBSTITUTE(H36," pt(s)","")))</f>
        <v>0</v>
      </c>
      <c r="I58" s="5"/>
      <c r="J58" s="5">
        <f t="shared" si="39"/>
        <v>0</v>
      </c>
      <c r="K58" s="5"/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</row>
    <row r="59" spans="3:23" hidden="1" x14ac:dyDescent="0.3">
      <c r="D59" s="33"/>
      <c r="E59" s="5"/>
      <c r="F59" s="5">
        <f>_xlfn.NUMBERVALUE(IF(F38="",0,SUBSTITUTE(F38," pt(s)","")))</f>
        <v>0</v>
      </c>
      <c r="G59" s="5"/>
      <c r="H59" s="5">
        <f t="shared" ref="H59:S59" si="40">_xlfn.NUMBERVALUE(IF(H38="",0,SUBSTITUTE(H38," pt(s)","")))</f>
        <v>0</v>
      </c>
      <c r="I59" s="5"/>
      <c r="J59" s="5">
        <f t="shared" si="40"/>
        <v>0</v>
      </c>
      <c r="K59" s="5"/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</row>
    <row r="60" spans="3:23" hidden="1" x14ac:dyDescent="0.3">
      <c r="D60" s="33"/>
      <c r="E60" s="5"/>
      <c r="F60" s="5">
        <f>_xlfn.NUMBERVALUE(IF(F40="",0,SUBSTITUTE(F40," pt(s)","")))</f>
        <v>0</v>
      </c>
      <c r="G60" s="5"/>
      <c r="H60" s="5">
        <f t="shared" ref="H60:S60" si="41">_xlfn.NUMBERVALUE(IF(H40="",0,SUBSTITUTE(H40," pt(s)","")))</f>
        <v>0</v>
      </c>
      <c r="I60" s="5"/>
      <c r="J60" s="5">
        <f t="shared" si="41"/>
        <v>0</v>
      </c>
      <c r="K60" s="5"/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</row>
    <row r="61" spans="3:23" hidden="1" x14ac:dyDescent="0.3">
      <c r="D61" s="33"/>
      <c r="E61" s="5" t="s">
        <v>69</v>
      </c>
      <c r="F61" s="5">
        <f>LARGE($F$50:$K$50,3)</f>
        <v>0</v>
      </c>
      <c r="G61" s="5"/>
      <c r="H61" s="5"/>
      <c r="I61" s="5"/>
      <c r="J61" s="5"/>
      <c r="K61" s="5"/>
      <c r="L61" s="5">
        <f>LARGE($L$50:$O$50,3)</f>
        <v>0</v>
      </c>
      <c r="M61" s="5">
        <f>LARGE($L$50:$O$50,4)</f>
        <v>0</v>
      </c>
      <c r="N61" s="5"/>
      <c r="O61" s="5"/>
      <c r="P61" s="5">
        <f>LARGE($P$50:$S$50,3)</f>
        <v>0</v>
      </c>
      <c r="Q61" s="5">
        <f>LARGE($P$50:$S$50,4)</f>
        <v>0</v>
      </c>
      <c r="R61" s="5"/>
      <c r="S61" s="5"/>
      <c r="T61" s="5" t="s">
        <v>65</v>
      </c>
      <c r="U61" s="5"/>
    </row>
    <row r="62" spans="3:23" hidden="1" x14ac:dyDescent="0.3">
      <c r="D62" s="33"/>
      <c r="E62" s="5">
        <v>2</v>
      </c>
      <c r="F62" s="5">
        <f>LARGE($F$52:$F$60,2)</f>
        <v>0</v>
      </c>
      <c r="G62" s="5"/>
      <c r="H62" s="5">
        <f>LARGE($H$52:$H$60,2)</f>
        <v>0</v>
      </c>
      <c r="I62" s="5"/>
      <c r="J62" s="5">
        <f>LARGE($J$52:$J$60,2)</f>
        <v>0</v>
      </c>
      <c r="K62" s="5"/>
      <c r="L62" s="5">
        <f>LARGE($L$52:$L$60,2)</f>
        <v>0</v>
      </c>
      <c r="M62" s="5">
        <f>LARGE($M$52:$M$60,2)</f>
        <v>0</v>
      </c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63">
        <f>LARGE(F61:S63,1)+LARGE(F61:S63,2)+LARGE(F61:S63,3)+LARGE(F61:S63,4)+LARGE(F61:S63,5)+LARGE(F61:S63,6)+LARGE(F61:S63,7)+LARGE(F61:S63,8)+LARGE(F61:S63,9)</f>
        <v>0</v>
      </c>
      <c r="U62" s="63"/>
    </row>
    <row r="63" spans="3:23" hidden="1" x14ac:dyDescent="0.3">
      <c r="D63" s="33"/>
      <c r="E63" s="5">
        <v>3</v>
      </c>
      <c r="F63" s="5">
        <f>LARGE($F$52:$F$60,3)</f>
        <v>0</v>
      </c>
      <c r="G63" s="5"/>
      <c r="H63" s="5">
        <f>LARGE($H$52:$H$60,3)</f>
        <v>0</v>
      </c>
      <c r="I63" s="5"/>
      <c r="J63" s="5">
        <f>LARGE($J$52:$J$60,3)</f>
        <v>0</v>
      </c>
      <c r="K63" s="5"/>
      <c r="L63" s="5">
        <f>LARGE($L$52:$L$60,3)</f>
        <v>0</v>
      </c>
      <c r="M63" s="5">
        <f>LARGE($M$52:$M$60,3)</f>
        <v>0</v>
      </c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</row>
    <row r="64" spans="3:23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kNI9khxUkPaQHINfl/W0jp70uuD+cHNGsQFopEq59KS62ucB1RHQSqA4ZETOwJIWHypy7U0ulWJ1bxb5a/bVAw==" saltValue="ZC4/bb19Fjm/q8KvQ1bSMw==" spinCount="100000" sheet="1" selectLockedCells="1"/>
  <mergeCells count="205">
    <mergeCell ref="U39:U40"/>
    <mergeCell ref="U37:U38"/>
    <mergeCell ref="U35:U36"/>
    <mergeCell ref="U33:U34"/>
    <mergeCell ref="U31:U32"/>
    <mergeCell ref="U29:U30"/>
    <mergeCell ref="U27:U28"/>
    <mergeCell ref="U25:U26"/>
    <mergeCell ref="U23:U24"/>
    <mergeCell ref="C51:E51"/>
    <mergeCell ref="K15:W15"/>
    <mergeCell ref="V21:W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T19:T20"/>
    <mergeCell ref="T29:T30"/>
    <mergeCell ref="V39:W40"/>
    <mergeCell ref="V37:W38"/>
    <mergeCell ref="L43:O43"/>
    <mergeCell ref="P43:S43"/>
    <mergeCell ref="C50:E50"/>
    <mergeCell ref="I17:J17"/>
    <mergeCell ref="I18:J18"/>
    <mergeCell ref="A9:E19"/>
    <mergeCell ref="G48:S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J15"/>
    <mergeCell ref="F43:K43"/>
    <mergeCell ref="C47:E47"/>
    <mergeCell ref="G11:J11"/>
    <mergeCell ref="V27:W28"/>
    <mergeCell ref="V31:W32"/>
    <mergeCell ref="K9:W9"/>
    <mergeCell ref="K10:W10"/>
    <mergeCell ref="K11:W11"/>
    <mergeCell ref="K12:W12"/>
    <mergeCell ref="K14:W14"/>
    <mergeCell ref="K16:W16"/>
    <mergeCell ref="T21:T22"/>
    <mergeCell ref="F21:G21"/>
    <mergeCell ref="V29:W30"/>
    <mergeCell ref="G12:J12"/>
    <mergeCell ref="J21:K21"/>
    <mergeCell ref="L20:O21"/>
    <mergeCell ref="P20:S21"/>
    <mergeCell ref="F20:K20"/>
    <mergeCell ref="A1:W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K13:W13"/>
    <mergeCell ref="G13:J13"/>
    <mergeCell ref="T35:T36"/>
    <mergeCell ref="T33:T34"/>
    <mergeCell ref="T25:T26"/>
    <mergeCell ref="T27:T28"/>
    <mergeCell ref="F46:K46"/>
    <mergeCell ref="F47:G47"/>
    <mergeCell ref="J47:K47"/>
    <mergeCell ref="E5:G5"/>
    <mergeCell ref="E3:G3"/>
    <mergeCell ref="V23:W24"/>
    <mergeCell ref="V35:W36"/>
    <mergeCell ref="V33:W34"/>
    <mergeCell ref="V25:W26"/>
    <mergeCell ref="C45:E45"/>
    <mergeCell ref="F44:G44"/>
    <mergeCell ref="J44:K44"/>
    <mergeCell ref="C44:E44"/>
    <mergeCell ref="F45:K45"/>
    <mergeCell ref="L45:O45"/>
    <mergeCell ref="P45:S45"/>
    <mergeCell ref="G14:J14"/>
    <mergeCell ref="G16:J16"/>
    <mergeCell ref="T31:T32"/>
    <mergeCell ref="G9:J9"/>
    <mergeCell ref="T39:T40"/>
    <mergeCell ref="T37:T38"/>
    <mergeCell ref="T23:T24"/>
    <mergeCell ref="G10:J10"/>
    <mergeCell ref="A6:C6"/>
    <mergeCell ref="A7:C7"/>
    <mergeCell ref="F7:H7"/>
    <mergeCell ref="A3:B3"/>
    <mergeCell ref="P5:Q5"/>
    <mergeCell ref="R5:S5"/>
    <mergeCell ref="H5:L5"/>
    <mergeCell ref="N5:O5"/>
    <mergeCell ref="J7:K7"/>
    <mergeCell ref="E35:E36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E23:E24"/>
    <mergeCell ref="F37:G37"/>
    <mergeCell ref="F38:G38"/>
    <mergeCell ref="F39:G39"/>
    <mergeCell ref="F40:G40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H22:I22"/>
    <mergeCell ref="H47:I47"/>
    <mergeCell ref="H44:I44"/>
    <mergeCell ref="I3:W3"/>
    <mergeCell ref="H21:I21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L46:O46"/>
    <mergeCell ref="P46:S46"/>
    <mergeCell ref="X39:X40"/>
    <mergeCell ref="X37:X38"/>
    <mergeCell ref="X35:X36"/>
    <mergeCell ref="X33:X34"/>
    <mergeCell ref="X31:X32"/>
    <mergeCell ref="X29:X30"/>
    <mergeCell ref="X27:X28"/>
    <mergeCell ref="X25:X26"/>
    <mergeCell ref="X23:X24"/>
  </mergeCells>
  <phoneticPr fontId="17" type="noConversion"/>
  <conditionalFormatting sqref="A7:A8 C42 D21 G48 T42:U42 U43">
    <cfRule type="containsText" dxfId="21" priority="39" operator="containsText" text="OUI">
      <formula>NOT(ISERROR(SEARCH("OUI",A7)))</formula>
    </cfRule>
    <cfRule type="containsText" dxfId="20" priority="40" operator="containsText" text="NON">
      <formula>NOT(ISERROR(SEARCH("NON",A7)))</formula>
    </cfRule>
  </conditionalFormatting>
  <conditionalFormatting sqref="A7:C8">
    <cfRule type="expression" dxfId="19" priority="26">
      <formula>$A$7=OUI</formula>
    </cfRule>
  </conditionalFormatting>
  <conditionalFormatting sqref="F43:F47">
    <cfRule type="containsText" dxfId="18" priority="12" operator="containsText" text="OUI">
      <formula>NOT(ISERROR(SEARCH("OUI",F43)))</formula>
    </cfRule>
    <cfRule type="containsText" dxfId="17" priority="13" operator="containsText" text="NON">
      <formula>NOT(ISERROR(SEARCH("NON",F43)))</formula>
    </cfRule>
  </conditionalFormatting>
  <conditionalFormatting sqref="H47">
    <cfRule type="containsText" dxfId="16" priority="4" operator="containsText" text="OUI">
      <formula>NOT(ISERROR(SEARCH("OUI",H47)))</formula>
    </cfRule>
    <cfRule type="containsText" dxfId="15" priority="5" operator="containsText" text="NON">
      <formula>NOT(ISERROR(SEARCH("NON",H47)))</formula>
    </cfRule>
  </conditionalFormatting>
  <conditionalFormatting sqref="J7">
    <cfRule type="expression" dxfId="14" priority="24">
      <formula>$A$7="NON"</formula>
    </cfRule>
    <cfRule type="expression" dxfId="13" priority="25">
      <formula>$A$7="OUI"</formula>
    </cfRule>
  </conditionalFormatting>
  <conditionalFormatting sqref="J47">
    <cfRule type="containsText" dxfId="12" priority="2" operator="containsText" text="OUI">
      <formula>NOT(ISERROR(SEARCH("OUI",J47)))</formula>
    </cfRule>
    <cfRule type="containsText" dxfId="11" priority="3" operator="containsText" text="NON">
      <formula>NOT(ISERROR(SEARCH("NON",J47)))</formula>
    </cfRule>
  </conditionalFormatting>
  <conditionalFormatting sqref="L43:L47 M47:S47">
    <cfRule type="containsText" dxfId="10" priority="18" operator="containsText" text="OUI">
      <formula>NOT(ISERROR(SEARCH("OUI",L43)))</formula>
    </cfRule>
    <cfRule type="containsText" dxfId="9" priority="19" operator="containsText" text="NON">
      <formula>NOT(ISERROR(SEARCH("NON",L43)))</formula>
    </cfRule>
  </conditionalFormatting>
  <conditionalFormatting sqref="P43:P46">
    <cfRule type="containsText" dxfId="8" priority="14" operator="containsText" text="OUI">
      <formula>NOT(ISERROR(SEARCH("OUI",P43)))</formula>
    </cfRule>
    <cfRule type="containsText" dxfId="7" priority="15" operator="containsText" text="NON">
      <formula>NOT(ISERROR(SEARCH("NON",P43)))</formula>
    </cfRule>
  </conditionalFormatting>
  <conditionalFormatting sqref="R5:S5">
    <cfRule type="containsText" dxfId="6" priority="27" operator="containsText" text="OUI">
      <formula>NOT(ISERROR(SEARCH("OUI",R5)))</formula>
    </cfRule>
    <cfRule type="containsText" dxfId="5" priority="28" operator="containsText" text="NON">
      <formula>NOT(ISERROR(SEARCH("NON",R5)))</formula>
    </cfRule>
  </conditionalFormatting>
  <conditionalFormatting sqref="T44:U48">
    <cfRule type="containsText" dxfId="4" priority="31" operator="containsText" text="OUI">
      <formula>NOT(ISERROR(SEARCH("OUI",T44)))</formula>
    </cfRule>
    <cfRule type="containsText" dxfId="3" priority="32" operator="containsText" text="NON">
      <formula>NOT(ISERROR(SEARCH("NON",T44)))</formula>
    </cfRule>
  </conditionalFormatting>
  <conditionalFormatting sqref="V23 V25 V27 V29 V31 V33 V35 V37 V39">
    <cfRule type="containsText" dxfId="2" priority="37" operator="containsText" text="OUI">
      <formula>NOT(ISERROR(SEARCH("OUI",V23)))</formula>
    </cfRule>
    <cfRule type="containsText" dxfId="1" priority="38" operator="containsText" text="NON">
      <formula>NOT(ISERROR(SEARCH("NON",V23)))</formula>
    </cfRule>
  </conditionalFormatting>
  <conditionalFormatting sqref="V23:W40">
    <cfRule type="expression" dxfId="0" priority="1">
      <formula>V23="manque catégorie"</formula>
    </cfRule>
  </conditionalFormatting>
  <printOptions horizontalCentered="1" verticalCentered="1"/>
  <pageMargins left="0.19685039370078741" right="0.19685039370078741" top="0" bottom="0" header="0" footer="0"/>
  <pageSetup paperSize="9" scale="44" orientation="landscape" horizontalDpi="300" r:id="rId1"/>
  <ignoredErrors>
    <ignoredError sqref="F48 J44 F44 H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D39 D25 D27 D29 D31 D33 D35 D37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T21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J39 F23 F25 F27 F29 F31 F33 F35 F37 F39 J25 J35 J27 J29 J31 J33 J37 J23 H23 H25 H27 H29 H31 H33 H35 H37 H39 T23:T40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L23:S23 L25:S25 L33:S33 L35:S35 L37:S37 L39:S39 L27:S27 L29:S29 L31:S31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H5:L5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G20" sqref="G20"/>
    </sheetView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70</v>
      </c>
      <c r="C2" t="s">
        <v>18</v>
      </c>
      <c r="E2" t="s">
        <v>72</v>
      </c>
      <c r="G2" t="s">
        <v>70</v>
      </c>
    </row>
    <row r="3" spans="1:7" x14ac:dyDescent="0.3">
      <c r="A3" t="s">
        <v>71</v>
      </c>
      <c r="C3" t="s">
        <v>19</v>
      </c>
      <c r="E3" t="s">
        <v>73</v>
      </c>
      <c r="G3" t="s">
        <v>71</v>
      </c>
    </row>
    <row r="4" spans="1:7" x14ac:dyDescent="0.3">
      <c r="E4" t="s">
        <v>74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B1" workbookViewId="0">
      <selection activeCell="S19" sqref="S1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3" s="1" customFormat="1" ht="33" thickBot="1" x14ac:dyDescent="0.35">
      <c r="A1" s="11" t="s">
        <v>70</v>
      </c>
      <c r="B1" s="12" t="s">
        <v>76</v>
      </c>
      <c r="C1" s="12"/>
      <c r="D1" s="12" t="s">
        <v>50</v>
      </c>
      <c r="E1" s="12"/>
      <c r="F1" s="12"/>
      <c r="G1" s="12" t="s">
        <v>51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52</v>
      </c>
      <c r="S1" s="12" t="s">
        <v>53</v>
      </c>
      <c r="T1" s="13"/>
      <c r="U1" s="13"/>
      <c r="V1" s="13"/>
      <c r="W1" s="11" t="s">
        <v>70</v>
      </c>
    </row>
    <row r="2" spans="1:23" s="1" customFormat="1" x14ac:dyDescent="0.3">
      <c r="A2" s="14">
        <v>50</v>
      </c>
      <c r="B2" s="16">
        <v>6.4000000000000001E-2</v>
      </c>
      <c r="C2" s="16"/>
      <c r="D2" s="16">
        <v>2.58</v>
      </c>
      <c r="E2" s="16"/>
      <c r="F2" s="16"/>
      <c r="G2" s="16">
        <v>7.2900000000000006E-2</v>
      </c>
      <c r="H2" s="15"/>
      <c r="I2" s="16"/>
      <c r="J2" s="15">
        <v>1.7</v>
      </c>
      <c r="K2" s="15">
        <v>3.3</v>
      </c>
      <c r="L2" s="15">
        <v>5.67</v>
      </c>
      <c r="M2" s="15">
        <v>11.71</v>
      </c>
      <c r="N2" s="15">
        <v>15.48</v>
      </c>
      <c r="O2" s="15">
        <v>45.59</v>
      </c>
      <c r="P2" s="15">
        <v>59.72</v>
      </c>
      <c r="Q2" s="15">
        <v>46.68</v>
      </c>
      <c r="R2" s="16">
        <v>0.30740000000000001</v>
      </c>
      <c r="S2" s="16">
        <v>0.30009999999999998</v>
      </c>
      <c r="T2" s="15"/>
      <c r="U2" s="15"/>
      <c r="V2" s="15"/>
      <c r="W2" s="17">
        <v>50</v>
      </c>
    </row>
    <row r="3" spans="1:23" s="1" customFormat="1" x14ac:dyDescent="0.3">
      <c r="A3" s="18">
        <v>49</v>
      </c>
      <c r="B3" s="20">
        <v>6.5100000000000005E-2</v>
      </c>
      <c r="C3" s="20"/>
      <c r="D3" s="20">
        <v>3.0019999999999998</v>
      </c>
      <c r="E3" s="20"/>
      <c r="F3" s="20"/>
      <c r="G3" s="20">
        <v>7.4200000000000002E-2</v>
      </c>
      <c r="H3" s="19"/>
      <c r="I3" s="20"/>
      <c r="J3" s="19">
        <v>1.67</v>
      </c>
      <c r="K3" s="19">
        <v>3.16</v>
      </c>
      <c r="L3" s="19">
        <v>5.56</v>
      </c>
      <c r="M3" s="19">
        <v>11.57</v>
      </c>
      <c r="N3" s="19">
        <v>14.98</v>
      </c>
      <c r="O3" s="19">
        <v>43.31</v>
      </c>
      <c r="P3" s="19">
        <v>57.1</v>
      </c>
      <c r="Q3" s="19">
        <v>44.1</v>
      </c>
      <c r="R3" s="20">
        <v>0.30980000000000002</v>
      </c>
      <c r="S3" s="20">
        <v>0.30249999999999999</v>
      </c>
      <c r="T3" s="19"/>
      <c r="U3" s="19"/>
      <c r="V3" s="19"/>
      <c r="W3" s="21">
        <v>49</v>
      </c>
    </row>
    <row r="4" spans="1:23" s="1" customFormat="1" x14ac:dyDescent="0.3">
      <c r="A4" s="18">
        <v>48</v>
      </c>
      <c r="B4" s="20">
        <v>6.6100000000000006E-2</v>
      </c>
      <c r="C4" s="20"/>
      <c r="D4" s="20">
        <v>3.024</v>
      </c>
      <c r="E4" s="20"/>
      <c r="F4" s="20"/>
      <c r="G4" s="20">
        <v>7.5499999999999998E-2</v>
      </c>
      <c r="H4" s="19"/>
      <c r="I4" s="20"/>
      <c r="J4" s="19">
        <v>1.64</v>
      </c>
      <c r="K4" s="19">
        <v>3.02</v>
      </c>
      <c r="L4" s="19">
        <v>5.46</v>
      </c>
      <c r="M4" s="19">
        <v>11.43</v>
      </c>
      <c r="N4" s="19">
        <v>14.49</v>
      </c>
      <c r="O4" s="19">
        <v>41.03</v>
      </c>
      <c r="P4" s="19">
        <v>54.77</v>
      </c>
      <c r="Q4" s="19">
        <v>41.53</v>
      </c>
      <c r="R4" s="20">
        <v>0.31219999999999998</v>
      </c>
      <c r="S4" s="20">
        <v>0.3049</v>
      </c>
      <c r="T4" s="19"/>
      <c r="U4" s="19"/>
      <c r="V4" s="19"/>
      <c r="W4" s="21">
        <v>48</v>
      </c>
    </row>
    <row r="5" spans="1:23" s="1" customFormat="1" x14ac:dyDescent="0.3">
      <c r="A5" s="18">
        <v>47</v>
      </c>
      <c r="B5" s="20">
        <v>6.7199999999999996E-2</v>
      </c>
      <c r="C5" s="20"/>
      <c r="D5" s="20">
        <v>3.0459999999999998</v>
      </c>
      <c r="E5" s="20"/>
      <c r="F5" s="20"/>
      <c r="G5" s="20">
        <v>7.6799999999999993E-2</v>
      </c>
      <c r="H5" s="19"/>
      <c r="I5" s="20"/>
      <c r="J5" s="19">
        <v>1.61</v>
      </c>
      <c r="K5" s="19">
        <v>2.88</v>
      </c>
      <c r="L5" s="19">
        <v>5.35</v>
      </c>
      <c r="M5" s="19">
        <v>11.28</v>
      </c>
      <c r="N5" s="19">
        <v>13.99</v>
      </c>
      <c r="O5" s="19">
        <v>38.76</v>
      </c>
      <c r="P5" s="19">
        <v>52.45</v>
      </c>
      <c r="Q5" s="19">
        <v>38.950000000000003</v>
      </c>
      <c r="R5" s="20">
        <v>0.31459999999999999</v>
      </c>
      <c r="S5" s="20">
        <v>0.30730000000000002</v>
      </c>
      <c r="T5" s="19"/>
      <c r="U5" s="19"/>
      <c r="V5" s="19"/>
      <c r="W5" s="21">
        <v>47</v>
      </c>
    </row>
    <row r="6" spans="1:23" s="1" customFormat="1" x14ac:dyDescent="0.3">
      <c r="A6" s="18">
        <v>46</v>
      </c>
      <c r="B6" s="20">
        <v>6.8199999999999997E-2</v>
      </c>
      <c r="C6" s="20"/>
      <c r="D6" s="20">
        <v>3.0680000000000001</v>
      </c>
      <c r="E6" s="20"/>
      <c r="F6" s="20"/>
      <c r="G6" s="20">
        <v>7.8100000000000003E-2</v>
      </c>
      <c r="H6" s="19"/>
      <c r="I6" s="20"/>
      <c r="J6" s="19">
        <v>1.58</v>
      </c>
      <c r="K6" s="19">
        <v>2.74</v>
      </c>
      <c r="L6" s="19">
        <v>5.25</v>
      </c>
      <c r="M6" s="19">
        <v>11.14</v>
      </c>
      <c r="N6" s="19">
        <v>13.5</v>
      </c>
      <c r="O6" s="19">
        <v>36.479999999999997</v>
      </c>
      <c r="P6" s="19">
        <v>50.12</v>
      </c>
      <c r="Q6" s="19">
        <v>36.380000000000003</v>
      </c>
      <c r="R6" s="20">
        <v>0.317</v>
      </c>
      <c r="S6" s="20">
        <v>0.30969999999999998</v>
      </c>
      <c r="T6" s="19"/>
      <c r="U6" s="19"/>
      <c r="V6" s="19"/>
      <c r="W6" s="21">
        <v>46</v>
      </c>
    </row>
    <row r="7" spans="1:23" s="1" customFormat="1" x14ac:dyDescent="0.3">
      <c r="A7" s="22">
        <v>45</v>
      </c>
      <c r="B7" s="24">
        <v>6.93E-2</v>
      </c>
      <c r="C7" s="24"/>
      <c r="D7" s="24">
        <v>3.09</v>
      </c>
      <c r="E7" s="24"/>
      <c r="F7" s="24"/>
      <c r="G7" s="24">
        <v>7.9399999999999998E-2</v>
      </c>
      <c r="H7" s="23"/>
      <c r="I7" s="24"/>
      <c r="J7" s="23">
        <v>1.55</v>
      </c>
      <c r="K7" s="23">
        <v>2.6</v>
      </c>
      <c r="L7" s="23">
        <v>5.14</v>
      </c>
      <c r="M7" s="23">
        <v>11</v>
      </c>
      <c r="N7" s="23">
        <v>13</v>
      </c>
      <c r="O7" s="23">
        <v>34.200000000000003</v>
      </c>
      <c r="P7" s="23">
        <v>47.8</v>
      </c>
      <c r="Q7" s="23">
        <v>33.799999999999997</v>
      </c>
      <c r="R7" s="24">
        <v>0.31940000000000002</v>
      </c>
      <c r="S7" s="24">
        <v>0.31209999999999999</v>
      </c>
      <c r="T7" s="23"/>
      <c r="U7" s="23"/>
      <c r="V7" s="23"/>
      <c r="W7" s="25">
        <v>45</v>
      </c>
    </row>
    <row r="8" spans="1:23" s="1" customFormat="1" x14ac:dyDescent="0.3">
      <c r="A8" s="18">
        <v>44</v>
      </c>
      <c r="B8" s="20">
        <v>6.9900000000000004E-2</v>
      </c>
      <c r="C8" s="20"/>
      <c r="D8" s="20">
        <v>3.1103999999999998</v>
      </c>
      <c r="E8" s="20"/>
      <c r="F8" s="20"/>
      <c r="G8" s="20">
        <v>8.0399999999999999E-2</v>
      </c>
      <c r="H8" s="19"/>
      <c r="I8" s="20"/>
      <c r="J8" s="19">
        <v>1.53</v>
      </c>
      <c r="K8" s="19">
        <v>2.57</v>
      </c>
      <c r="L8" s="19">
        <v>5.07</v>
      </c>
      <c r="M8" s="19">
        <v>10.87</v>
      </c>
      <c r="N8" s="19">
        <v>12.74</v>
      </c>
      <c r="O8" s="19">
        <v>33.409999999999997</v>
      </c>
      <c r="P8" s="19">
        <v>46.66</v>
      </c>
      <c r="Q8" s="19">
        <v>32.93</v>
      </c>
      <c r="R8" s="20">
        <v>0.32100000000000001</v>
      </c>
      <c r="S8" s="20">
        <v>0.3135</v>
      </c>
      <c r="T8" s="19"/>
      <c r="U8" s="19"/>
      <c r="V8" s="19"/>
      <c r="W8" s="21">
        <v>44</v>
      </c>
    </row>
    <row r="9" spans="1:23" s="1" customFormat="1" x14ac:dyDescent="0.3">
      <c r="A9" s="18">
        <v>43</v>
      </c>
      <c r="B9" s="20">
        <v>7.0400000000000004E-2</v>
      </c>
      <c r="C9" s="20"/>
      <c r="D9" s="20">
        <v>3.1307999999999998</v>
      </c>
      <c r="E9" s="20"/>
      <c r="F9" s="58"/>
      <c r="G9" s="20">
        <v>8.14E-2</v>
      </c>
      <c r="H9" s="19"/>
      <c r="I9" s="20"/>
      <c r="J9" s="19">
        <v>1.52</v>
      </c>
      <c r="K9" s="19">
        <v>2.54</v>
      </c>
      <c r="L9" s="19">
        <v>5</v>
      </c>
      <c r="M9" s="19">
        <v>10.74</v>
      </c>
      <c r="N9" s="19">
        <v>12.47</v>
      </c>
      <c r="O9" s="19">
        <v>32.619999999999997</v>
      </c>
      <c r="P9" s="19">
        <v>45.51</v>
      </c>
      <c r="Q9" s="19">
        <v>32.06</v>
      </c>
      <c r="R9" s="20">
        <v>0.3226</v>
      </c>
      <c r="S9" s="20">
        <v>0.315</v>
      </c>
      <c r="T9" s="19"/>
      <c r="U9" s="19"/>
      <c r="V9" s="19"/>
      <c r="W9" s="21">
        <v>43</v>
      </c>
    </row>
    <row r="10" spans="1:23" s="1" customFormat="1" x14ac:dyDescent="0.3">
      <c r="A10" s="18">
        <v>42</v>
      </c>
      <c r="B10" s="20">
        <v>7.0999999999999994E-2</v>
      </c>
      <c r="C10" s="20"/>
      <c r="D10" s="20">
        <v>3.1511999999999998</v>
      </c>
      <c r="E10" s="20"/>
      <c r="F10" s="58"/>
      <c r="G10" s="20">
        <v>8.2400000000000001E-2</v>
      </c>
      <c r="H10" s="19"/>
      <c r="I10" s="20"/>
      <c r="J10" s="19">
        <v>1.5</v>
      </c>
      <c r="K10" s="19">
        <v>2.5</v>
      </c>
      <c r="L10" s="19">
        <v>4.93</v>
      </c>
      <c r="M10" s="19">
        <v>10.62</v>
      </c>
      <c r="N10" s="19">
        <v>12.21</v>
      </c>
      <c r="O10" s="19">
        <v>31.82</v>
      </c>
      <c r="P10" s="19">
        <v>44.37</v>
      </c>
      <c r="Q10" s="19">
        <v>31.18</v>
      </c>
      <c r="R10" s="20">
        <v>0.32419999999999999</v>
      </c>
      <c r="S10" s="20">
        <v>0.3165</v>
      </c>
      <c r="T10" s="19"/>
      <c r="U10" s="19"/>
      <c r="V10" s="19"/>
      <c r="W10" s="21">
        <v>42</v>
      </c>
    </row>
    <row r="11" spans="1:23" s="1" customFormat="1" x14ac:dyDescent="0.3">
      <c r="A11" s="18">
        <v>41</v>
      </c>
      <c r="B11" s="20">
        <v>7.1599999999999997E-2</v>
      </c>
      <c r="C11" s="20"/>
      <c r="D11" s="20">
        <v>3.1716000000000002</v>
      </c>
      <c r="E11" s="20"/>
      <c r="F11" s="58"/>
      <c r="G11" s="20">
        <v>8.3299999999999999E-2</v>
      </c>
      <c r="H11" s="19"/>
      <c r="I11" s="20"/>
      <c r="J11" s="19">
        <v>1.48</v>
      </c>
      <c r="K11" s="19">
        <v>2.4700000000000002</v>
      </c>
      <c r="L11" s="19">
        <v>4.8600000000000003</v>
      </c>
      <c r="M11" s="19">
        <v>10.49</v>
      </c>
      <c r="N11" s="19">
        <v>11.94</v>
      </c>
      <c r="O11" s="19">
        <v>31.03</v>
      </c>
      <c r="P11" s="19">
        <v>43.22</v>
      </c>
      <c r="Q11" s="19">
        <v>30.31</v>
      </c>
      <c r="R11" s="20">
        <v>0.32579999999999998</v>
      </c>
      <c r="S11" s="20">
        <v>0.318</v>
      </c>
      <c r="T11" s="19"/>
      <c r="U11" s="19"/>
      <c r="V11" s="19"/>
      <c r="W11" s="21">
        <v>41</v>
      </c>
    </row>
    <row r="12" spans="1:23" s="1" customFormat="1" x14ac:dyDescent="0.3">
      <c r="A12" s="27">
        <v>40</v>
      </c>
      <c r="B12" s="29">
        <v>7.2099999999999997E-2</v>
      </c>
      <c r="C12" s="29"/>
      <c r="D12" s="29">
        <v>3.1920000000000002</v>
      </c>
      <c r="E12" s="29"/>
      <c r="F12" s="29"/>
      <c r="G12" s="29">
        <v>8.43E-2</v>
      </c>
      <c r="H12" s="28"/>
      <c r="I12" s="29"/>
      <c r="J12" s="28">
        <v>1.47</v>
      </c>
      <c r="K12" s="28">
        <v>2.44</v>
      </c>
      <c r="L12" s="28">
        <v>4.79</v>
      </c>
      <c r="M12" s="28">
        <v>10.36</v>
      </c>
      <c r="N12" s="28">
        <v>11.68</v>
      </c>
      <c r="O12" s="28">
        <v>30.24</v>
      </c>
      <c r="P12" s="28">
        <v>42.08</v>
      </c>
      <c r="Q12" s="28">
        <v>29.44</v>
      </c>
      <c r="R12" s="29">
        <v>0.32740000000000002</v>
      </c>
      <c r="S12" s="29">
        <v>0.31950000000000001</v>
      </c>
      <c r="T12" s="30"/>
      <c r="U12" s="30"/>
      <c r="V12" s="28"/>
      <c r="W12" s="31">
        <v>40</v>
      </c>
    </row>
    <row r="13" spans="1:23" s="1" customFormat="1" x14ac:dyDescent="0.3">
      <c r="A13" s="18">
        <v>39</v>
      </c>
      <c r="B13" s="20">
        <v>7.2700000000000001E-2</v>
      </c>
      <c r="C13" s="20"/>
      <c r="D13" s="20">
        <v>3.2124000000000001</v>
      </c>
      <c r="E13" s="20"/>
      <c r="F13" s="58"/>
      <c r="G13" s="20">
        <v>8.5300000000000001E-2</v>
      </c>
      <c r="H13" s="19"/>
      <c r="I13" s="20"/>
      <c r="J13" s="19">
        <v>1.45</v>
      </c>
      <c r="K13" s="19">
        <v>2.41</v>
      </c>
      <c r="L13" s="19">
        <v>4.72</v>
      </c>
      <c r="M13" s="19">
        <v>10.23</v>
      </c>
      <c r="N13" s="19">
        <v>11.42</v>
      </c>
      <c r="O13" s="19">
        <v>29.45</v>
      </c>
      <c r="P13" s="19">
        <v>40.94</v>
      </c>
      <c r="Q13" s="19">
        <v>28.57</v>
      </c>
      <c r="R13" s="20">
        <v>0.32900000000000001</v>
      </c>
      <c r="S13" s="20">
        <v>0.32100000000000001</v>
      </c>
      <c r="T13" s="19"/>
      <c r="U13" s="19"/>
      <c r="V13" s="19"/>
      <c r="W13" s="21">
        <v>39</v>
      </c>
    </row>
    <row r="14" spans="1:23" s="1" customFormat="1" x14ac:dyDescent="0.3">
      <c r="A14" s="18">
        <v>38</v>
      </c>
      <c r="B14" s="20">
        <v>7.3200000000000001E-2</v>
      </c>
      <c r="C14" s="20"/>
      <c r="D14" s="20">
        <v>3.2328000000000001</v>
      </c>
      <c r="E14" s="20"/>
      <c r="F14" s="58"/>
      <c r="G14" s="20">
        <v>8.6300000000000002E-2</v>
      </c>
      <c r="H14" s="19"/>
      <c r="I14" s="20"/>
      <c r="J14" s="19">
        <v>1.43</v>
      </c>
      <c r="K14" s="19">
        <v>2.38</v>
      </c>
      <c r="L14" s="19">
        <v>4.6500000000000004</v>
      </c>
      <c r="M14" s="19">
        <v>10.1</v>
      </c>
      <c r="N14" s="19">
        <v>11.15</v>
      </c>
      <c r="O14" s="19">
        <v>28.66</v>
      </c>
      <c r="P14" s="19">
        <v>39.79</v>
      </c>
      <c r="Q14" s="19">
        <v>27.7</v>
      </c>
      <c r="R14" s="20">
        <v>0.3306</v>
      </c>
      <c r="S14" s="20">
        <v>0.32250000000000001</v>
      </c>
      <c r="T14" s="19"/>
      <c r="U14" s="19"/>
      <c r="V14" s="19"/>
      <c r="W14" s="21">
        <v>38</v>
      </c>
    </row>
    <row r="15" spans="1:23" s="1" customFormat="1" x14ac:dyDescent="0.3">
      <c r="A15" s="18">
        <v>37</v>
      </c>
      <c r="B15" s="20">
        <v>7.3800000000000004E-2</v>
      </c>
      <c r="C15" s="20"/>
      <c r="D15" s="20">
        <v>3.2532000000000001</v>
      </c>
      <c r="E15" s="20"/>
      <c r="F15" s="58"/>
      <c r="G15" s="20">
        <v>8.7300000000000003E-2</v>
      </c>
      <c r="H15" s="19"/>
      <c r="I15" s="20"/>
      <c r="J15" s="19">
        <v>1.42</v>
      </c>
      <c r="K15" s="19">
        <v>2.34</v>
      </c>
      <c r="L15" s="19">
        <v>4.58</v>
      </c>
      <c r="M15" s="19">
        <v>9.98</v>
      </c>
      <c r="N15" s="19">
        <v>10.89</v>
      </c>
      <c r="O15" s="19">
        <v>27.86</v>
      </c>
      <c r="P15" s="19">
        <v>38.65</v>
      </c>
      <c r="Q15" s="19">
        <v>26.82</v>
      </c>
      <c r="R15" s="20">
        <v>0.3322</v>
      </c>
      <c r="S15" s="20">
        <v>0.32400000000000001</v>
      </c>
      <c r="T15" s="19"/>
      <c r="U15" s="19"/>
      <c r="V15" s="19"/>
      <c r="W15" s="21">
        <v>37</v>
      </c>
    </row>
    <row r="16" spans="1:23" s="1" customFormat="1" x14ac:dyDescent="0.3">
      <c r="A16" s="18">
        <v>36</v>
      </c>
      <c r="B16" s="20">
        <v>7.4399999999999994E-2</v>
      </c>
      <c r="C16" s="20"/>
      <c r="D16" s="20">
        <v>3.2736000000000001</v>
      </c>
      <c r="E16" s="20"/>
      <c r="F16" s="58"/>
      <c r="G16" s="20">
        <v>8.8300000000000003E-2</v>
      </c>
      <c r="H16" s="19"/>
      <c r="I16" s="20"/>
      <c r="J16" s="19">
        <v>1.4</v>
      </c>
      <c r="K16" s="19">
        <v>2.31</v>
      </c>
      <c r="L16" s="19">
        <v>4.51</v>
      </c>
      <c r="M16" s="19">
        <v>9.85</v>
      </c>
      <c r="N16" s="19">
        <v>10.62</v>
      </c>
      <c r="O16" s="19">
        <v>27.07</v>
      </c>
      <c r="P16" s="19">
        <v>37.5</v>
      </c>
      <c r="Q16" s="19">
        <v>25.95</v>
      </c>
      <c r="R16" s="20">
        <v>0.33379999999999999</v>
      </c>
      <c r="S16" s="20">
        <v>0.32550000000000001</v>
      </c>
      <c r="T16" s="19"/>
      <c r="U16" s="19"/>
      <c r="V16" s="19"/>
      <c r="W16" s="21">
        <v>36</v>
      </c>
    </row>
    <row r="17" spans="1:23" s="1" customFormat="1" x14ac:dyDescent="0.3">
      <c r="A17" s="22">
        <v>35</v>
      </c>
      <c r="B17" s="24">
        <v>7.4899999999999994E-2</v>
      </c>
      <c r="C17" s="24"/>
      <c r="D17" s="24">
        <v>3.294</v>
      </c>
      <c r="E17" s="24"/>
      <c r="F17" s="24"/>
      <c r="G17" s="24">
        <v>8.9200000000000002E-2</v>
      </c>
      <c r="H17" s="23"/>
      <c r="I17" s="24"/>
      <c r="J17" s="23">
        <v>1.38</v>
      </c>
      <c r="K17" s="23">
        <v>2.2799999999999998</v>
      </c>
      <c r="L17" s="23">
        <v>4.4400000000000004</v>
      </c>
      <c r="M17" s="23">
        <v>9.7200000000000006</v>
      </c>
      <c r="N17" s="23">
        <v>10.36</v>
      </c>
      <c r="O17" s="23">
        <v>26.28</v>
      </c>
      <c r="P17" s="23">
        <v>36.36</v>
      </c>
      <c r="Q17" s="23">
        <v>25.08</v>
      </c>
      <c r="R17" s="24">
        <v>0.33539999999999998</v>
      </c>
      <c r="S17" s="24">
        <v>0.32700000000000001</v>
      </c>
      <c r="T17" s="23"/>
      <c r="U17" s="23"/>
      <c r="V17" s="23"/>
      <c r="W17" s="25">
        <v>35</v>
      </c>
    </row>
    <row r="18" spans="1:23" s="1" customFormat="1" x14ac:dyDescent="0.3">
      <c r="A18" s="18">
        <v>34</v>
      </c>
      <c r="B18" s="20">
        <v>7.5499999999999998E-2</v>
      </c>
      <c r="C18" s="20"/>
      <c r="D18" s="20">
        <v>3.3144</v>
      </c>
      <c r="E18" s="20"/>
      <c r="F18" s="58"/>
      <c r="G18" s="20">
        <v>9.0200000000000002E-2</v>
      </c>
      <c r="H18" s="19"/>
      <c r="I18" s="20"/>
      <c r="J18" s="19">
        <v>1.37</v>
      </c>
      <c r="K18" s="19">
        <v>2.25</v>
      </c>
      <c r="L18" s="19">
        <v>4.37</v>
      </c>
      <c r="M18" s="19">
        <v>9.59</v>
      </c>
      <c r="N18" s="19">
        <v>10.1</v>
      </c>
      <c r="O18" s="19">
        <v>25.49</v>
      </c>
      <c r="P18" s="19">
        <v>35.22</v>
      </c>
      <c r="Q18" s="19">
        <v>24.21</v>
      </c>
      <c r="R18" s="20">
        <v>0.33700000000000002</v>
      </c>
      <c r="S18" s="20">
        <v>0.32850000000000001</v>
      </c>
      <c r="T18" s="19"/>
      <c r="U18" s="19"/>
      <c r="V18" s="19"/>
      <c r="W18" s="21">
        <v>34</v>
      </c>
    </row>
    <row r="19" spans="1:23" s="1" customFormat="1" x14ac:dyDescent="0.3">
      <c r="A19" s="18">
        <v>33</v>
      </c>
      <c r="B19" s="20">
        <v>7.6100000000000001E-2</v>
      </c>
      <c r="C19" s="20"/>
      <c r="D19" s="20">
        <v>3.3348</v>
      </c>
      <c r="E19" s="20"/>
      <c r="F19" s="58"/>
      <c r="G19" s="20">
        <v>9.1200000000000003E-2</v>
      </c>
      <c r="H19" s="19"/>
      <c r="I19" s="20"/>
      <c r="J19" s="19">
        <v>1.35</v>
      </c>
      <c r="K19" s="19">
        <v>2.2200000000000002</v>
      </c>
      <c r="L19" s="19">
        <v>4.3</v>
      </c>
      <c r="M19" s="19">
        <v>9.4600000000000009</v>
      </c>
      <c r="N19" s="19">
        <v>9.83</v>
      </c>
      <c r="O19" s="19">
        <v>24.7</v>
      </c>
      <c r="P19" s="19">
        <v>34.07</v>
      </c>
      <c r="Q19" s="19">
        <v>23.34</v>
      </c>
      <c r="R19" s="20">
        <v>0.33860000000000001</v>
      </c>
      <c r="S19" s="20">
        <v>0.33</v>
      </c>
      <c r="T19" s="19"/>
      <c r="U19" s="19"/>
      <c r="V19" s="19"/>
      <c r="W19" s="21">
        <v>33</v>
      </c>
    </row>
    <row r="20" spans="1:23" s="1" customFormat="1" x14ac:dyDescent="0.3">
      <c r="A20" s="18">
        <v>32</v>
      </c>
      <c r="B20" s="20">
        <v>7.6600000000000001E-2</v>
      </c>
      <c r="C20" s="20"/>
      <c r="D20" s="20">
        <v>3.3552</v>
      </c>
      <c r="E20" s="20"/>
      <c r="F20" s="58"/>
      <c r="G20" s="20">
        <v>9.2200000000000004E-2</v>
      </c>
      <c r="H20" s="19"/>
      <c r="I20" s="20"/>
      <c r="J20" s="19">
        <v>1.33</v>
      </c>
      <c r="K20" s="19">
        <v>2.1800000000000002</v>
      </c>
      <c r="L20" s="19">
        <v>4.24</v>
      </c>
      <c r="M20" s="19">
        <v>9.34</v>
      </c>
      <c r="N20" s="19">
        <v>9.57</v>
      </c>
      <c r="O20" s="19">
        <v>23.9</v>
      </c>
      <c r="P20" s="19">
        <v>32.93</v>
      </c>
      <c r="Q20" s="19">
        <v>22.46</v>
      </c>
      <c r="R20" s="20">
        <v>0.3402</v>
      </c>
      <c r="S20" s="20">
        <v>0.33150000000000002</v>
      </c>
      <c r="T20" s="19"/>
      <c r="U20" s="19"/>
      <c r="V20" s="19"/>
      <c r="W20" s="21">
        <v>32</v>
      </c>
    </row>
    <row r="21" spans="1:23" s="1" customFormat="1" x14ac:dyDescent="0.3">
      <c r="A21" s="18">
        <v>31</v>
      </c>
      <c r="B21" s="20">
        <v>7.7200000000000005E-2</v>
      </c>
      <c r="C21" s="20"/>
      <c r="D21" s="20">
        <v>3.3755999999999999</v>
      </c>
      <c r="E21" s="20"/>
      <c r="F21" s="58"/>
      <c r="G21" s="20">
        <v>9.3200000000000005E-2</v>
      </c>
      <c r="H21" s="19"/>
      <c r="I21" s="20"/>
      <c r="J21" s="19">
        <v>1.31</v>
      </c>
      <c r="K21" s="19">
        <v>2.15</v>
      </c>
      <c r="L21" s="19">
        <v>4.17</v>
      </c>
      <c r="M21" s="19">
        <v>9.2100000000000009</v>
      </c>
      <c r="N21" s="19">
        <v>9.3000000000000007</v>
      </c>
      <c r="O21" s="19">
        <v>23.11</v>
      </c>
      <c r="P21" s="19">
        <v>31.78</v>
      </c>
      <c r="Q21" s="19">
        <v>21.59</v>
      </c>
      <c r="R21" s="20">
        <v>0.34179999999999999</v>
      </c>
      <c r="S21" s="20">
        <v>0.33300000000000002</v>
      </c>
      <c r="T21" s="19"/>
      <c r="U21" s="19"/>
      <c r="V21" s="19"/>
      <c r="W21" s="21">
        <v>31</v>
      </c>
    </row>
    <row r="22" spans="1:23" s="1" customFormat="1" x14ac:dyDescent="0.3">
      <c r="A22" s="27">
        <v>30</v>
      </c>
      <c r="B22" s="29">
        <v>7.7799999999999994E-2</v>
      </c>
      <c r="C22" s="29"/>
      <c r="D22" s="29">
        <v>3.3959999999999999</v>
      </c>
      <c r="E22" s="29"/>
      <c r="F22" s="29"/>
      <c r="G22" s="29">
        <v>9.4200000000000006E-2</v>
      </c>
      <c r="H22" s="28"/>
      <c r="I22" s="29"/>
      <c r="J22" s="28">
        <v>1.3</v>
      </c>
      <c r="K22" s="28">
        <v>2.12</v>
      </c>
      <c r="L22" s="28">
        <v>4.0999999999999996</v>
      </c>
      <c r="M22" s="28">
        <v>9.08</v>
      </c>
      <c r="N22" s="28">
        <v>9.0399999999999991</v>
      </c>
      <c r="O22" s="28">
        <v>22.32</v>
      </c>
      <c r="P22" s="28">
        <v>30.64</v>
      </c>
      <c r="Q22" s="28">
        <v>20.72</v>
      </c>
      <c r="R22" s="29">
        <v>0.34350000000000003</v>
      </c>
      <c r="S22" s="29">
        <v>0.33450000000000002</v>
      </c>
      <c r="T22" s="28"/>
      <c r="U22" s="28"/>
      <c r="V22" s="28"/>
      <c r="W22" s="31">
        <v>30</v>
      </c>
    </row>
    <row r="23" spans="1:23" s="1" customFormat="1" x14ac:dyDescent="0.3">
      <c r="A23" s="18">
        <v>29</v>
      </c>
      <c r="B23" s="20">
        <v>7.8299999999999995E-2</v>
      </c>
      <c r="C23" s="20"/>
      <c r="D23" s="20">
        <v>3.4163999999999999</v>
      </c>
      <c r="E23" s="20"/>
      <c r="F23" s="58"/>
      <c r="G23" s="20">
        <v>9.5100000000000004E-2</v>
      </c>
      <c r="H23" s="19"/>
      <c r="I23" s="20"/>
      <c r="J23" s="19">
        <v>1.28</v>
      </c>
      <c r="K23" s="19">
        <v>2.09</v>
      </c>
      <c r="L23" s="19">
        <v>4.03</v>
      </c>
      <c r="M23" s="19">
        <v>8.9499999999999993</v>
      </c>
      <c r="N23" s="19">
        <v>8.7799999999999994</v>
      </c>
      <c r="O23" s="19">
        <v>21.53</v>
      </c>
      <c r="P23" s="19">
        <v>29.5</v>
      </c>
      <c r="Q23" s="19">
        <v>19.850000000000001</v>
      </c>
      <c r="R23" s="20">
        <v>0.34420000000000001</v>
      </c>
      <c r="S23" s="20">
        <v>0.33510000000000001</v>
      </c>
      <c r="T23" s="19"/>
      <c r="U23" s="19"/>
      <c r="V23" s="19"/>
      <c r="W23" s="21">
        <v>29</v>
      </c>
    </row>
    <row r="24" spans="1:23" s="1" customFormat="1" x14ac:dyDescent="0.3">
      <c r="A24" s="18">
        <v>28</v>
      </c>
      <c r="B24" s="20">
        <v>7.8899999999999998E-2</v>
      </c>
      <c r="C24" s="20"/>
      <c r="D24" s="20">
        <v>3.4367999999999999</v>
      </c>
      <c r="E24" s="20"/>
      <c r="F24" s="58"/>
      <c r="G24" s="20">
        <v>9.6100000000000005E-2</v>
      </c>
      <c r="H24" s="19"/>
      <c r="I24" s="20"/>
      <c r="J24" s="19">
        <v>1.26</v>
      </c>
      <c r="K24" s="19">
        <v>2.06</v>
      </c>
      <c r="L24" s="19">
        <v>3.96</v>
      </c>
      <c r="M24" s="19">
        <v>8.82</v>
      </c>
      <c r="N24" s="19">
        <v>8.51</v>
      </c>
      <c r="O24" s="19">
        <v>20.74</v>
      </c>
      <c r="P24" s="19">
        <v>28.35</v>
      </c>
      <c r="Q24" s="19">
        <v>18.98</v>
      </c>
      <c r="R24" s="20">
        <v>0.34489999999999998</v>
      </c>
      <c r="S24" s="20">
        <v>0.33579999999999999</v>
      </c>
      <c r="T24" s="19"/>
      <c r="U24" s="19"/>
      <c r="V24" s="19"/>
      <c r="W24" s="21">
        <v>28</v>
      </c>
    </row>
    <row r="25" spans="1:23" s="1" customFormat="1" x14ac:dyDescent="0.3">
      <c r="A25" s="18">
        <v>27</v>
      </c>
      <c r="B25" s="20">
        <v>7.9500000000000001E-2</v>
      </c>
      <c r="C25" s="20"/>
      <c r="D25" s="20">
        <v>3.4571999999999998</v>
      </c>
      <c r="E25" s="20"/>
      <c r="F25" s="58"/>
      <c r="G25" s="20">
        <v>9.7100000000000006E-2</v>
      </c>
      <c r="H25" s="19"/>
      <c r="I25" s="20"/>
      <c r="J25" s="19">
        <v>1.25</v>
      </c>
      <c r="K25" s="19">
        <v>2.02</v>
      </c>
      <c r="L25" s="19">
        <v>3.89</v>
      </c>
      <c r="M25" s="19">
        <v>8.6999999999999993</v>
      </c>
      <c r="N25" s="19">
        <v>8.25</v>
      </c>
      <c r="O25" s="19">
        <v>19.940000000000001</v>
      </c>
      <c r="P25" s="19">
        <v>27.21</v>
      </c>
      <c r="Q25" s="19">
        <v>18.100000000000001</v>
      </c>
      <c r="R25" s="20">
        <v>0.34560000000000002</v>
      </c>
      <c r="S25" s="20">
        <v>0.33639999999999998</v>
      </c>
      <c r="T25" s="19"/>
      <c r="U25" s="19"/>
      <c r="V25" s="19"/>
      <c r="W25" s="21">
        <v>27</v>
      </c>
    </row>
    <row r="26" spans="1:23" s="1" customFormat="1" x14ac:dyDescent="0.3">
      <c r="A26" s="18">
        <v>26</v>
      </c>
      <c r="B26" s="20">
        <v>0.08</v>
      </c>
      <c r="C26" s="20"/>
      <c r="D26" s="20">
        <v>3.4775999999999998</v>
      </c>
      <c r="E26" s="20"/>
      <c r="F26" s="58"/>
      <c r="G26" s="20">
        <v>9.8100000000000007E-2</v>
      </c>
      <c r="H26" s="19"/>
      <c r="I26" s="20"/>
      <c r="J26" s="19">
        <v>1.23</v>
      </c>
      <c r="K26" s="19">
        <v>1.99</v>
      </c>
      <c r="L26" s="19">
        <v>3.82</v>
      </c>
      <c r="M26" s="19">
        <v>8.57</v>
      </c>
      <c r="N26" s="19">
        <v>7.98</v>
      </c>
      <c r="O26" s="19">
        <v>19.149999999999999</v>
      </c>
      <c r="P26" s="19">
        <v>26.06</v>
      </c>
      <c r="Q26" s="19">
        <v>17.23</v>
      </c>
      <c r="R26" s="20">
        <v>0.34639999999999999</v>
      </c>
      <c r="S26" s="20">
        <v>0.33710000000000001</v>
      </c>
      <c r="T26" s="19"/>
      <c r="U26" s="19"/>
      <c r="V26" s="19"/>
      <c r="W26" s="21">
        <v>26</v>
      </c>
    </row>
    <row r="27" spans="1:23" s="1" customFormat="1" x14ac:dyDescent="0.3">
      <c r="A27" s="22">
        <v>25</v>
      </c>
      <c r="B27" s="24">
        <v>8.0600000000000005E-2</v>
      </c>
      <c r="C27" s="24"/>
      <c r="D27" s="24">
        <v>3.4980000000000002</v>
      </c>
      <c r="E27" s="24"/>
      <c r="F27" s="24"/>
      <c r="G27" s="24">
        <v>9.9099999999999994E-2</v>
      </c>
      <c r="H27" s="23"/>
      <c r="I27" s="24"/>
      <c r="J27" s="23">
        <v>1.21</v>
      </c>
      <c r="K27" s="23">
        <v>1.96</v>
      </c>
      <c r="L27" s="23">
        <v>3.75</v>
      </c>
      <c r="M27" s="23">
        <v>8.44</v>
      </c>
      <c r="N27" s="23">
        <v>7.72</v>
      </c>
      <c r="O27" s="23">
        <v>18.36</v>
      </c>
      <c r="P27" s="23">
        <v>24.92</v>
      </c>
      <c r="Q27" s="23">
        <v>16.36</v>
      </c>
      <c r="R27" s="24">
        <v>0.34710000000000002</v>
      </c>
      <c r="S27" s="24">
        <v>0.33779999999999999</v>
      </c>
      <c r="T27" s="23"/>
      <c r="U27" s="23"/>
      <c r="V27" s="23"/>
      <c r="W27" s="25">
        <v>25</v>
      </c>
    </row>
    <row r="28" spans="1:23" s="1" customFormat="1" x14ac:dyDescent="0.3">
      <c r="A28" s="18">
        <v>24</v>
      </c>
      <c r="B28" s="20">
        <v>8.1100000000000005E-2</v>
      </c>
      <c r="C28" s="20"/>
      <c r="D28" s="20">
        <v>3.5184000000000002</v>
      </c>
      <c r="E28" s="20"/>
      <c r="F28" s="58"/>
      <c r="G28" s="20">
        <v>0.10009999999999999</v>
      </c>
      <c r="H28" s="19"/>
      <c r="I28" s="20"/>
      <c r="J28" s="19">
        <v>1.2</v>
      </c>
      <c r="K28" s="19">
        <v>1.93</v>
      </c>
      <c r="L28" s="19">
        <v>3.68</v>
      </c>
      <c r="M28" s="19">
        <v>8.31</v>
      </c>
      <c r="N28" s="19">
        <v>7.46</v>
      </c>
      <c r="O28" s="19">
        <v>17.57</v>
      </c>
      <c r="P28" s="19">
        <v>23.78</v>
      </c>
      <c r="Q28" s="19">
        <v>15.49</v>
      </c>
      <c r="R28" s="20">
        <v>0.3478</v>
      </c>
      <c r="S28" s="20">
        <v>0.33839999999999998</v>
      </c>
      <c r="T28" s="19"/>
      <c r="U28" s="19"/>
      <c r="V28" s="19"/>
      <c r="W28" s="21">
        <v>24</v>
      </c>
    </row>
    <row r="29" spans="1:23" s="1" customFormat="1" x14ac:dyDescent="0.3">
      <c r="A29" s="18">
        <v>23</v>
      </c>
      <c r="B29" s="20">
        <v>8.1699999999999995E-2</v>
      </c>
      <c r="C29" s="20"/>
      <c r="D29" s="20">
        <v>3.5388000000000002</v>
      </c>
      <c r="E29" s="20"/>
      <c r="F29" s="58"/>
      <c r="G29" s="20">
        <v>0.10100000000000001</v>
      </c>
      <c r="H29" s="19"/>
      <c r="I29" s="20"/>
      <c r="J29" s="19">
        <v>1.18</v>
      </c>
      <c r="K29" s="19">
        <v>1.9</v>
      </c>
      <c r="L29" s="19">
        <v>3.61</v>
      </c>
      <c r="M29" s="19">
        <v>8.18</v>
      </c>
      <c r="N29" s="19">
        <v>7.19</v>
      </c>
      <c r="O29" s="19">
        <v>16.78</v>
      </c>
      <c r="P29" s="19">
        <v>22.63</v>
      </c>
      <c r="Q29" s="19">
        <v>14.62</v>
      </c>
      <c r="R29" s="20">
        <v>0.34860000000000002</v>
      </c>
      <c r="S29" s="20">
        <v>0.33910000000000001</v>
      </c>
      <c r="T29" s="19"/>
      <c r="U29" s="19"/>
      <c r="V29" s="19"/>
      <c r="W29" s="21">
        <v>23</v>
      </c>
    </row>
    <row r="30" spans="1:23" s="1" customFormat="1" x14ac:dyDescent="0.3">
      <c r="A30" s="18">
        <v>22</v>
      </c>
      <c r="B30" s="20">
        <v>8.2299999999999998E-2</v>
      </c>
      <c r="C30" s="20"/>
      <c r="D30" s="20">
        <v>3.5592000000000001</v>
      </c>
      <c r="E30" s="20"/>
      <c r="F30" s="58"/>
      <c r="G30" s="20">
        <v>0.10199999999999999</v>
      </c>
      <c r="H30" s="19"/>
      <c r="I30" s="20"/>
      <c r="J30" s="19">
        <v>1.1599999999999999</v>
      </c>
      <c r="K30" s="19">
        <v>1.86</v>
      </c>
      <c r="L30" s="19">
        <v>3.54</v>
      </c>
      <c r="M30" s="19">
        <v>8.06</v>
      </c>
      <c r="N30" s="19">
        <v>6.93</v>
      </c>
      <c r="O30" s="19">
        <v>15.98</v>
      </c>
      <c r="P30" s="19">
        <v>21.49</v>
      </c>
      <c r="Q30" s="19">
        <v>13.74</v>
      </c>
      <c r="R30" s="20">
        <v>0.3493</v>
      </c>
      <c r="S30" s="20">
        <v>0.3397</v>
      </c>
      <c r="T30" s="19"/>
      <c r="U30" s="19"/>
      <c r="V30" s="19"/>
      <c r="W30" s="21">
        <v>22</v>
      </c>
    </row>
    <row r="31" spans="1:23" s="1" customFormat="1" x14ac:dyDescent="0.3">
      <c r="A31" s="18">
        <v>21</v>
      </c>
      <c r="B31" s="20">
        <v>8.2799999999999999E-2</v>
      </c>
      <c r="C31" s="20"/>
      <c r="D31" s="20">
        <v>3.5796000000000001</v>
      </c>
      <c r="E31" s="20"/>
      <c r="F31" s="58"/>
      <c r="G31" s="20">
        <v>0.10299999999999999</v>
      </c>
      <c r="H31" s="19"/>
      <c r="I31" s="20"/>
      <c r="J31" s="19">
        <v>1.1499999999999999</v>
      </c>
      <c r="K31" s="19">
        <v>1.83</v>
      </c>
      <c r="L31" s="19">
        <v>3.47</v>
      </c>
      <c r="M31" s="19">
        <v>7.93</v>
      </c>
      <c r="N31" s="19">
        <v>6.66</v>
      </c>
      <c r="O31" s="19">
        <v>15.19</v>
      </c>
      <c r="P31" s="19">
        <v>20.34</v>
      </c>
      <c r="Q31" s="19">
        <v>12.87</v>
      </c>
      <c r="R31" s="20">
        <v>0.35</v>
      </c>
      <c r="S31" s="20">
        <v>0.34039999999999998</v>
      </c>
      <c r="T31" s="19"/>
      <c r="U31" s="19"/>
      <c r="V31" s="19"/>
      <c r="W31" s="21">
        <v>21</v>
      </c>
    </row>
    <row r="32" spans="1:23" s="1" customFormat="1" x14ac:dyDescent="0.3">
      <c r="A32" s="27">
        <v>20</v>
      </c>
      <c r="B32" s="29">
        <v>8.3400000000000002E-2</v>
      </c>
      <c r="C32" s="29"/>
      <c r="D32" s="29">
        <v>4</v>
      </c>
      <c r="E32" s="29"/>
      <c r="F32" s="29"/>
      <c r="G32" s="29">
        <v>0.104</v>
      </c>
      <c r="H32" s="28"/>
      <c r="I32" s="29"/>
      <c r="J32" s="28">
        <v>1.1299999999999999</v>
      </c>
      <c r="K32" s="28">
        <v>1.8</v>
      </c>
      <c r="L32" s="28">
        <v>3.4</v>
      </c>
      <c r="M32" s="28">
        <v>7.8</v>
      </c>
      <c r="N32" s="28">
        <v>6.4</v>
      </c>
      <c r="O32" s="28">
        <v>14.4</v>
      </c>
      <c r="P32" s="28">
        <v>19.2</v>
      </c>
      <c r="Q32" s="28">
        <v>12</v>
      </c>
      <c r="R32" s="29">
        <v>0.3508</v>
      </c>
      <c r="S32" s="29">
        <v>0.34110000000000001</v>
      </c>
      <c r="T32" s="28"/>
      <c r="U32" s="28"/>
      <c r="V32" s="28"/>
      <c r="W32" s="31">
        <v>20</v>
      </c>
    </row>
    <row r="33" spans="1:23" s="1" customFormat="1" x14ac:dyDescent="0.3">
      <c r="A33" s="18">
        <v>19</v>
      </c>
      <c r="B33" s="20">
        <v>8.4599999999999995E-2</v>
      </c>
      <c r="C33" s="20"/>
      <c r="D33" s="20">
        <v>4.0568</v>
      </c>
      <c r="E33" s="20"/>
      <c r="F33" s="58"/>
      <c r="G33" s="20">
        <v>0.10730000000000001</v>
      </c>
      <c r="H33" s="19"/>
      <c r="I33" s="20"/>
      <c r="J33" s="19">
        <v>1.1200000000000001</v>
      </c>
      <c r="K33" s="19">
        <v>1.76</v>
      </c>
      <c r="L33" s="19">
        <v>3.32</v>
      </c>
      <c r="M33" s="19">
        <v>7.66</v>
      </c>
      <c r="N33" s="19">
        <v>6.24</v>
      </c>
      <c r="O33" s="19">
        <v>13.96</v>
      </c>
      <c r="P33" s="19">
        <v>18.52</v>
      </c>
      <c r="Q33" s="19">
        <v>11.69</v>
      </c>
      <c r="R33" s="20">
        <v>0.3523</v>
      </c>
      <c r="S33" s="20">
        <v>0.3427</v>
      </c>
      <c r="T33" s="19"/>
      <c r="U33" s="19"/>
      <c r="V33" s="19"/>
      <c r="W33" s="21">
        <v>19</v>
      </c>
    </row>
    <row r="34" spans="1:23" s="1" customFormat="1" x14ac:dyDescent="0.3">
      <c r="A34" s="18">
        <v>18</v>
      </c>
      <c r="B34" s="20">
        <v>8.5800000000000001E-2</v>
      </c>
      <c r="C34" s="20"/>
      <c r="D34" s="20">
        <v>4.1136999999999997</v>
      </c>
      <c r="E34" s="20"/>
      <c r="F34" s="58"/>
      <c r="G34" s="20">
        <v>0.1105</v>
      </c>
      <c r="H34" s="19"/>
      <c r="I34" s="20"/>
      <c r="J34" s="19">
        <v>1.1000000000000001</v>
      </c>
      <c r="K34" s="26">
        <v>1.73</v>
      </c>
      <c r="L34" s="19">
        <v>3.24</v>
      </c>
      <c r="M34" s="19">
        <v>7.53</v>
      </c>
      <c r="N34" s="19">
        <v>6.07</v>
      </c>
      <c r="O34" s="19">
        <v>13.53</v>
      </c>
      <c r="P34" s="19">
        <v>17.84</v>
      </c>
      <c r="Q34" s="19">
        <v>11.38</v>
      </c>
      <c r="R34" s="20">
        <v>0.35389999999999999</v>
      </c>
      <c r="S34" s="20">
        <v>0.34439999999999998</v>
      </c>
      <c r="T34" s="19"/>
      <c r="U34" s="19"/>
      <c r="V34" s="19"/>
      <c r="W34" s="21">
        <v>18</v>
      </c>
    </row>
    <row r="35" spans="1:23" s="1" customFormat="1" x14ac:dyDescent="0.3">
      <c r="A35" s="18">
        <v>17</v>
      </c>
      <c r="B35" s="20">
        <v>8.6999999999999994E-2</v>
      </c>
      <c r="C35" s="20"/>
      <c r="D35" s="20">
        <v>4.1704999999999997</v>
      </c>
      <c r="E35" s="20"/>
      <c r="F35" s="58"/>
      <c r="G35" s="20">
        <v>0.1138</v>
      </c>
      <c r="H35" s="19"/>
      <c r="I35" s="20"/>
      <c r="J35" s="19">
        <v>1.0900000000000001</v>
      </c>
      <c r="K35" s="26">
        <v>1.69</v>
      </c>
      <c r="L35" s="19">
        <v>3.17</v>
      </c>
      <c r="M35" s="19">
        <v>7.39</v>
      </c>
      <c r="N35" s="19">
        <v>5.91</v>
      </c>
      <c r="O35" s="19">
        <v>13.09</v>
      </c>
      <c r="P35" s="19">
        <v>17.16</v>
      </c>
      <c r="Q35" s="19">
        <v>11.07</v>
      </c>
      <c r="R35" s="20">
        <v>0.35539999999999999</v>
      </c>
      <c r="S35" s="20">
        <v>0.34610000000000002</v>
      </c>
      <c r="T35" s="19"/>
      <c r="U35" s="19"/>
      <c r="V35" s="19"/>
      <c r="W35" s="21">
        <v>17</v>
      </c>
    </row>
    <row r="36" spans="1:23" s="1" customFormat="1" x14ac:dyDescent="0.3">
      <c r="A36" s="18">
        <v>16</v>
      </c>
      <c r="B36" s="20">
        <v>8.8200000000000001E-2</v>
      </c>
      <c r="C36" s="20"/>
      <c r="D36" s="20">
        <v>4.2274000000000003</v>
      </c>
      <c r="E36" s="20"/>
      <c r="F36" s="58"/>
      <c r="G36" s="20">
        <v>0.1171</v>
      </c>
      <c r="H36" s="19"/>
      <c r="I36" s="20"/>
      <c r="J36" s="19">
        <v>1.07</v>
      </c>
      <c r="K36" s="26">
        <v>1.65</v>
      </c>
      <c r="L36" s="19">
        <v>3.09</v>
      </c>
      <c r="M36" s="19">
        <v>7.25</v>
      </c>
      <c r="N36" s="19">
        <v>5.75</v>
      </c>
      <c r="O36" s="19">
        <v>12.65</v>
      </c>
      <c r="P36" s="19">
        <v>16.48</v>
      </c>
      <c r="Q36" s="19">
        <v>10.76</v>
      </c>
      <c r="R36" s="20">
        <v>0.35699999999999998</v>
      </c>
      <c r="S36" s="20">
        <v>0.3478</v>
      </c>
      <c r="T36" s="19"/>
      <c r="U36" s="19"/>
      <c r="V36" s="19"/>
      <c r="W36" s="21">
        <v>16</v>
      </c>
    </row>
    <row r="37" spans="1:23" s="1" customFormat="1" x14ac:dyDescent="0.3">
      <c r="A37" s="22">
        <v>15</v>
      </c>
      <c r="B37" s="24">
        <v>8.9499999999999996E-2</v>
      </c>
      <c r="C37" s="24"/>
      <c r="D37" s="24">
        <v>4.2842000000000002</v>
      </c>
      <c r="E37" s="24"/>
      <c r="F37" s="24"/>
      <c r="G37" s="24">
        <v>0.1203</v>
      </c>
      <c r="H37" s="23"/>
      <c r="I37" s="24"/>
      <c r="J37" s="23">
        <v>1.06</v>
      </c>
      <c r="K37" s="23">
        <v>1.62</v>
      </c>
      <c r="L37" s="23">
        <v>3.01</v>
      </c>
      <c r="M37" s="23">
        <v>7.12</v>
      </c>
      <c r="N37" s="23">
        <v>5.58</v>
      </c>
      <c r="O37" s="23">
        <v>12.22</v>
      </c>
      <c r="P37" s="23">
        <v>15.81</v>
      </c>
      <c r="Q37" s="23">
        <v>10.45</v>
      </c>
      <c r="R37" s="24">
        <v>0.35859999999999997</v>
      </c>
      <c r="S37" s="24">
        <v>0.34949999999999998</v>
      </c>
      <c r="T37" s="23"/>
      <c r="U37" s="23"/>
      <c r="V37" s="23"/>
      <c r="W37" s="25">
        <v>15</v>
      </c>
    </row>
    <row r="38" spans="1:23" s="1" customFormat="1" x14ac:dyDescent="0.3">
      <c r="A38" s="18">
        <v>14</v>
      </c>
      <c r="B38" s="20">
        <v>9.0700000000000003E-2</v>
      </c>
      <c r="C38" s="20"/>
      <c r="D38" s="20">
        <v>4.3411</v>
      </c>
      <c r="E38" s="20"/>
      <c r="F38" s="58"/>
      <c r="G38" s="20">
        <v>0.1236</v>
      </c>
      <c r="H38" s="19"/>
      <c r="I38" s="20"/>
      <c r="J38" s="19">
        <v>1.04</v>
      </c>
      <c r="K38" s="26">
        <v>1.58</v>
      </c>
      <c r="L38" s="19">
        <v>2.93</v>
      </c>
      <c r="M38" s="19">
        <v>6.98</v>
      </c>
      <c r="N38" s="19">
        <v>5.42</v>
      </c>
      <c r="O38" s="19">
        <v>11.78</v>
      </c>
      <c r="P38" s="19">
        <v>15.13</v>
      </c>
      <c r="Q38" s="19">
        <v>10.14</v>
      </c>
      <c r="R38" s="20">
        <v>0.36149999999999999</v>
      </c>
      <c r="S38" s="20">
        <v>0.35310000000000002</v>
      </c>
      <c r="T38" s="19"/>
      <c r="U38" s="19"/>
      <c r="V38" s="19"/>
      <c r="W38" s="21">
        <v>14</v>
      </c>
    </row>
    <row r="39" spans="1:23" s="1" customFormat="1" x14ac:dyDescent="0.3">
      <c r="A39" s="18">
        <v>13</v>
      </c>
      <c r="B39" s="20">
        <v>9.1899999999999996E-2</v>
      </c>
      <c r="C39" s="20"/>
      <c r="D39" s="20">
        <v>4.3978999999999999</v>
      </c>
      <c r="E39" s="20"/>
      <c r="F39" s="58"/>
      <c r="G39" s="20">
        <v>0.1268</v>
      </c>
      <c r="H39" s="19"/>
      <c r="I39" s="20"/>
      <c r="J39" s="19">
        <v>1.03</v>
      </c>
      <c r="K39" s="26">
        <v>1.54</v>
      </c>
      <c r="L39" s="19">
        <v>2.85</v>
      </c>
      <c r="M39" s="19">
        <v>6.84</v>
      </c>
      <c r="N39" s="19">
        <v>5.26</v>
      </c>
      <c r="O39" s="19">
        <v>11.34</v>
      </c>
      <c r="P39" s="19">
        <v>14.45</v>
      </c>
      <c r="Q39" s="19">
        <v>9.83</v>
      </c>
      <c r="R39" s="20">
        <v>0.36449999999999999</v>
      </c>
      <c r="S39" s="20">
        <v>0.35670000000000002</v>
      </c>
      <c r="T39" s="19"/>
      <c r="U39" s="19"/>
      <c r="V39" s="19"/>
      <c r="W39" s="21">
        <v>13</v>
      </c>
    </row>
    <row r="40" spans="1:23" s="1" customFormat="1" x14ac:dyDescent="0.3">
      <c r="A40" s="18">
        <v>12</v>
      </c>
      <c r="B40" s="20">
        <v>9.3100000000000002E-2</v>
      </c>
      <c r="C40" s="20"/>
      <c r="D40" s="20">
        <v>4.4546999999999999</v>
      </c>
      <c r="E40" s="20"/>
      <c r="F40" s="58"/>
      <c r="G40" s="20">
        <v>0.13009999999999999</v>
      </c>
      <c r="H40" s="19"/>
      <c r="I40" s="20"/>
      <c r="J40" s="19">
        <v>1.01</v>
      </c>
      <c r="K40" s="26">
        <v>1.51</v>
      </c>
      <c r="L40" s="19">
        <v>2.78</v>
      </c>
      <c r="M40" s="19">
        <v>6.71</v>
      </c>
      <c r="N40" s="19">
        <v>5.09</v>
      </c>
      <c r="O40" s="19">
        <v>10.91</v>
      </c>
      <c r="P40" s="19">
        <v>13.77</v>
      </c>
      <c r="Q40" s="19">
        <v>9.52</v>
      </c>
      <c r="R40" s="20">
        <v>0.3674</v>
      </c>
      <c r="S40" s="20">
        <v>0.36030000000000001</v>
      </c>
      <c r="T40" s="19"/>
      <c r="U40" s="19"/>
      <c r="V40" s="19"/>
      <c r="W40" s="21">
        <v>12</v>
      </c>
    </row>
    <row r="41" spans="1:23" s="1" customFormat="1" x14ac:dyDescent="0.3">
      <c r="A41" s="18">
        <v>11</v>
      </c>
      <c r="B41" s="20">
        <v>9.4299999999999995E-2</v>
      </c>
      <c r="C41" s="20"/>
      <c r="D41" s="20">
        <v>4.5115999999999996</v>
      </c>
      <c r="E41" s="20"/>
      <c r="F41" s="58"/>
      <c r="G41" s="20">
        <v>0.13339999999999999</v>
      </c>
      <c r="H41" s="19"/>
      <c r="I41" s="20"/>
      <c r="J41" s="19">
        <v>1</v>
      </c>
      <c r="K41" s="26">
        <v>1.47</v>
      </c>
      <c r="L41" s="19">
        <v>2.7</v>
      </c>
      <c r="M41" s="19">
        <v>6.57</v>
      </c>
      <c r="N41" s="19">
        <v>4.93</v>
      </c>
      <c r="O41" s="19">
        <v>10.47</v>
      </c>
      <c r="P41" s="19">
        <v>13.09</v>
      </c>
      <c r="Q41" s="19">
        <v>9.2100000000000009</v>
      </c>
      <c r="R41" s="20">
        <v>0.37040000000000001</v>
      </c>
      <c r="S41" s="20">
        <v>0.3639</v>
      </c>
      <c r="T41" s="19"/>
      <c r="U41" s="19"/>
      <c r="V41" s="19"/>
      <c r="W41" s="21">
        <v>11</v>
      </c>
    </row>
    <row r="42" spans="1:23" s="1" customFormat="1" x14ac:dyDescent="0.3">
      <c r="A42" s="27">
        <v>10</v>
      </c>
      <c r="B42" s="29">
        <v>9.5500000000000002E-2</v>
      </c>
      <c r="C42" s="29"/>
      <c r="D42" s="29">
        <v>4.5683999999999996</v>
      </c>
      <c r="E42" s="29"/>
      <c r="F42" s="29"/>
      <c r="G42" s="29">
        <v>0.1366</v>
      </c>
      <c r="H42" s="28"/>
      <c r="I42" s="29"/>
      <c r="J42" s="28">
        <v>0.98</v>
      </c>
      <c r="K42" s="28">
        <v>1.43</v>
      </c>
      <c r="L42" s="28">
        <v>2.62</v>
      </c>
      <c r="M42" s="28">
        <v>6.43</v>
      </c>
      <c r="N42" s="28">
        <v>4.7699999999999996</v>
      </c>
      <c r="O42" s="28">
        <v>10.029999999999999</v>
      </c>
      <c r="P42" s="28">
        <v>12.41</v>
      </c>
      <c r="Q42" s="28">
        <v>8.89</v>
      </c>
      <c r="R42" s="29">
        <v>0.37330000000000002</v>
      </c>
      <c r="S42" s="29">
        <v>0.36749999999999999</v>
      </c>
      <c r="T42" s="28"/>
      <c r="U42" s="28"/>
      <c r="V42" s="28"/>
      <c r="W42" s="31">
        <v>10</v>
      </c>
    </row>
    <row r="43" spans="1:23" s="1" customFormat="1" x14ac:dyDescent="0.3">
      <c r="A43" s="18">
        <v>9</v>
      </c>
      <c r="B43" s="20">
        <v>9.6699999999999994E-2</v>
      </c>
      <c r="C43" s="20"/>
      <c r="D43" s="20">
        <v>5.0252999999999997</v>
      </c>
      <c r="E43" s="20"/>
      <c r="F43" s="58"/>
      <c r="G43" s="20">
        <v>0.1399</v>
      </c>
      <c r="H43" s="19"/>
      <c r="I43" s="20"/>
      <c r="J43" s="19">
        <v>0.97</v>
      </c>
      <c r="K43" s="26">
        <v>1.39</v>
      </c>
      <c r="L43" s="19">
        <v>2.54</v>
      </c>
      <c r="M43" s="19">
        <v>6.29</v>
      </c>
      <c r="N43" s="19">
        <v>4.6100000000000003</v>
      </c>
      <c r="O43" s="19">
        <v>9.59</v>
      </c>
      <c r="P43" s="19">
        <v>11.73</v>
      </c>
      <c r="Q43" s="19">
        <v>8.58</v>
      </c>
      <c r="R43" s="20">
        <v>0.37630000000000002</v>
      </c>
      <c r="S43" s="20">
        <v>0.37109999999999999</v>
      </c>
      <c r="T43" s="19"/>
      <c r="U43" s="19"/>
      <c r="V43" s="19"/>
      <c r="W43" s="21">
        <v>9</v>
      </c>
    </row>
    <row r="44" spans="1:23" s="1" customFormat="1" x14ac:dyDescent="0.3">
      <c r="A44" s="18">
        <v>8</v>
      </c>
      <c r="B44" s="20">
        <v>9.7900000000000001E-2</v>
      </c>
      <c r="C44" s="20"/>
      <c r="D44" s="20">
        <v>5.0820999999999996</v>
      </c>
      <c r="E44" s="20"/>
      <c r="F44" s="58"/>
      <c r="G44" s="20">
        <v>0.14319999999999999</v>
      </c>
      <c r="H44" s="19"/>
      <c r="I44" s="20"/>
      <c r="J44" s="19">
        <v>0.95</v>
      </c>
      <c r="K44" s="26">
        <v>1.36</v>
      </c>
      <c r="L44" s="19">
        <v>2.4700000000000002</v>
      </c>
      <c r="M44" s="19">
        <v>6.16</v>
      </c>
      <c r="N44" s="19">
        <v>4.4400000000000004</v>
      </c>
      <c r="O44" s="19">
        <v>9.16</v>
      </c>
      <c r="P44" s="19">
        <v>11.05</v>
      </c>
      <c r="Q44" s="19">
        <v>8.27</v>
      </c>
      <c r="R44" s="20">
        <v>0.37930000000000003</v>
      </c>
      <c r="S44" s="20">
        <v>0.37469999999999998</v>
      </c>
      <c r="T44" s="19"/>
      <c r="U44" s="19"/>
      <c r="V44" s="19"/>
      <c r="W44" s="21">
        <v>8</v>
      </c>
    </row>
    <row r="45" spans="1:23" s="1" customFormat="1" x14ac:dyDescent="0.3">
      <c r="A45" s="18">
        <v>7</v>
      </c>
      <c r="B45" s="20">
        <v>9.9099999999999994E-2</v>
      </c>
      <c r="C45" s="20"/>
      <c r="D45" s="20">
        <v>5.1388999999999996</v>
      </c>
      <c r="E45" s="20"/>
      <c r="F45" s="58"/>
      <c r="G45" s="20">
        <v>0.1464</v>
      </c>
      <c r="H45" s="19"/>
      <c r="I45" s="20"/>
      <c r="J45" s="19">
        <v>0.94</v>
      </c>
      <c r="K45" s="26">
        <v>1.32</v>
      </c>
      <c r="L45" s="19">
        <v>2.39</v>
      </c>
      <c r="M45" s="19">
        <v>6.02</v>
      </c>
      <c r="N45" s="19">
        <v>4.28</v>
      </c>
      <c r="O45" s="19">
        <v>8.7200000000000006</v>
      </c>
      <c r="P45" s="19">
        <v>10.37</v>
      </c>
      <c r="Q45" s="19">
        <v>7.96</v>
      </c>
      <c r="R45" s="20">
        <v>0.38219999999999998</v>
      </c>
      <c r="S45" s="20">
        <v>0.37830000000000003</v>
      </c>
      <c r="T45" s="19"/>
      <c r="U45" s="19"/>
      <c r="V45" s="19"/>
      <c r="W45" s="21">
        <v>7</v>
      </c>
    </row>
    <row r="46" spans="1:23" s="1" customFormat="1" x14ac:dyDescent="0.3">
      <c r="A46" s="18">
        <v>6</v>
      </c>
      <c r="B46" s="20">
        <v>0.1003</v>
      </c>
      <c r="C46" s="20"/>
      <c r="D46" s="20">
        <v>5.1958000000000002</v>
      </c>
      <c r="E46" s="20"/>
      <c r="F46" s="58"/>
      <c r="G46" s="20">
        <v>0.1497</v>
      </c>
      <c r="H46" s="19"/>
      <c r="I46" s="20"/>
      <c r="J46" s="19">
        <v>0.92</v>
      </c>
      <c r="K46" s="26">
        <v>1.28</v>
      </c>
      <c r="L46" s="19">
        <v>2.31</v>
      </c>
      <c r="M46" s="19">
        <v>5.88</v>
      </c>
      <c r="N46" s="19">
        <v>4.12</v>
      </c>
      <c r="O46" s="19">
        <v>8.2799999999999994</v>
      </c>
      <c r="P46" s="19">
        <v>9.69</v>
      </c>
      <c r="Q46" s="19">
        <v>7.65</v>
      </c>
      <c r="R46" s="20">
        <v>0.38519999999999999</v>
      </c>
      <c r="S46" s="20">
        <v>0.38190000000000002</v>
      </c>
      <c r="T46" s="19"/>
      <c r="U46" s="19"/>
      <c r="V46" s="19"/>
      <c r="W46" s="21">
        <v>6</v>
      </c>
    </row>
    <row r="47" spans="1:23" s="1" customFormat="1" x14ac:dyDescent="0.3">
      <c r="A47" s="22">
        <v>5</v>
      </c>
      <c r="B47" s="24">
        <v>0.1016</v>
      </c>
      <c r="C47" s="24"/>
      <c r="D47" s="24">
        <v>5.2526000000000002</v>
      </c>
      <c r="E47" s="24"/>
      <c r="F47" s="24"/>
      <c r="G47" s="24">
        <v>0.15290000000000001</v>
      </c>
      <c r="H47" s="23"/>
      <c r="I47" s="24"/>
      <c r="J47" s="23">
        <v>0.91</v>
      </c>
      <c r="K47" s="23">
        <v>1.25</v>
      </c>
      <c r="L47" s="23">
        <v>2.23</v>
      </c>
      <c r="M47" s="23">
        <v>5.75</v>
      </c>
      <c r="N47" s="23">
        <v>3.95</v>
      </c>
      <c r="O47" s="23">
        <v>7.85</v>
      </c>
      <c r="P47" s="23">
        <v>9.02</v>
      </c>
      <c r="Q47" s="23">
        <v>7.34</v>
      </c>
      <c r="R47" s="24">
        <v>0.3881</v>
      </c>
      <c r="S47" s="24">
        <v>0.38550000000000001</v>
      </c>
      <c r="T47" s="23"/>
      <c r="U47" s="23"/>
      <c r="V47" s="23"/>
      <c r="W47" s="25">
        <v>5</v>
      </c>
    </row>
    <row r="48" spans="1:23" s="1" customFormat="1" x14ac:dyDescent="0.3">
      <c r="A48" s="18">
        <v>4</v>
      </c>
      <c r="B48" s="20">
        <v>0.1028</v>
      </c>
      <c r="C48" s="20"/>
      <c r="D48" s="20">
        <v>5.3094999999999999</v>
      </c>
      <c r="E48" s="20"/>
      <c r="F48" s="58"/>
      <c r="G48" s="20">
        <v>0.15620000000000001</v>
      </c>
      <c r="H48" s="19"/>
      <c r="I48" s="20"/>
      <c r="J48" s="19">
        <v>0.89</v>
      </c>
      <c r="K48" s="26">
        <v>1.21</v>
      </c>
      <c r="L48" s="19">
        <v>2.15</v>
      </c>
      <c r="M48" s="19">
        <v>5.61</v>
      </c>
      <c r="N48" s="19">
        <v>3.79</v>
      </c>
      <c r="O48" s="19">
        <v>7.41</v>
      </c>
      <c r="P48" s="19">
        <v>8.34</v>
      </c>
      <c r="Q48" s="19">
        <v>7.03</v>
      </c>
      <c r="R48" s="20">
        <v>0.3911</v>
      </c>
      <c r="S48" s="20">
        <v>0.3891</v>
      </c>
      <c r="T48" s="19"/>
      <c r="U48" s="19"/>
      <c r="V48" s="19"/>
      <c r="W48" s="21">
        <v>4</v>
      </c>
    </row>
    <row r="49" spans="1:23" s="1" customFormat="1" x14ac:dyDescent="0.3">
      <c r="A49" s="18">
        <v>3</v>
      </c>
      <c r="B49" s="20">
        <v>0.104</v>
      </c>
      <c r="C49" s="20"/>
      <c r="D49" s="20">
        <v>5.3662999999999998</v>
      </c>
      <c r="E49" s="20"/>
      <c r="F49" s="58"/>
      <c r="G49" s="20">
        <v>0.1595</v>
      </c>
      <c r="H49" s="19"/>
      <c r="I49" s="20"/>
      <c r="J49" s="19">
        <v>0.88</v>
      </c>
      <c r="K49" s="26">
        <v>1.17</v>
      </c>
      <c r="L49" s="19">
        <v>2.08</v>
      </c>
      <c r="M49" s="19">
        <v>5.47</v>
      </c>
      <c r="N49" s="19">
        <v>3.63</v>
      </c>
      <c r="O49" s="19">
        <v>6.97</v>
      </c>
      <c r="P49" s="19">
        <v>7.66</v>
      </c>
      <c r="Q49" s="19">
        <v>6.72</v>
      </c>
      <c r="R49" s="20">
        <v>0.39400000000000002</v>
      </c>
      <c r="S49" s="20">
        <v>0.39269999999999999</v>
      </c>
      <c r="T49" s="19"/>
      <c r="U49" s="19"/>
      <c r="V49" s="19"/>
      <c r="W49" s="21">
        <v>3</v>
      </c>
    </row>
    <row r="50" spans="1:23" s="1" customFormat="1" x14ac:dyDescent="0.3">
      <c r="A50" s="18">
        <v>2</v>
      </c>
      <c r="B50" s="20">
        <v>0.1052</v>
      </c>
      <c r="C50" s="20"/>
      <c r="D50" s="20">
        <v>5.4231999999999996</v>
      </c>
      <c r="E50" s="20"/>
      <c r="F50" s="58"/>
      <c r="G50" s="20">
        <v>0.16270000000000001</v>
      </c>
      <c r="H50" s="19"/>
      <c r="I50" s="20"/>
      <c r="J50" s="19">
        <v>0.86</v>
      </c>
      <c r="K50" s="26">
        <v>1.1399999999999999</v>
      </c>
      <c r="L50" s="19">
        <v>2</v>
      </c>
      <c r="M50" s="19">
        <v>5.34</v>
      </c>
      <c r="N50" s="19">
        <v>3.46</v>
      </c>
      <c r="O50" s="19">
        <v>6.54</v>
      </c>
      <c r="P50" s="19">
        <v>6.98</v>
      </c>
      <c r="Q50" s="19">
        <v>6.41</v>
      </c>
      <c r="R50" s="20">
        <v>0.39700000000000002</v>
      </c>
      <c r="S50" s="20">
        <v>0.39629999999999999</v>
      </c>
      <c r="T50" s="19"/>
      <c r="U50" s="19"/>
      <c r="V50" s="19"/>
      <c r="W50" s="21">
        <v>2</v>
      </c>
    </row>
    <row r="51" spans="1:23" s="1" customFormat="1" ht="15" thickBot="1" x14ac:dyDescent="0.35">
      <c r="A51" s="32">
        <v>1</v>
      </c>
      <c r="B51" s="212" t="s">
        <v>33</v>
      </c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4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A20" workbookViewId="0">
      <selection activeCell="B2" sqref="B2:V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71</v>
      </c>
      <c r="B1" s="12" t="s">
        <v>76</v>
      </c>
      <c r="C1" s="12"/>
      <c r="D1" s="12" t="s">
        <v>50</v>
      </c>
      <c r="E1" s="12"/>
      <c r="F1" s="12"/>
      <c r="G1" s="12" t="s">
        <v>51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52</v>
      </c>
      <c r="S1" s="12" t="s">
        <v>53</v>
      </c>
      <c r="T1" s="12"/>
      <c r="U1" s="13"/>
      <c r="V1" s="13"/>
      <c r="W1" s="11" t="s">
        <v>71</v>
      </c>
    </row>
    <row r="2" spans="1:23" x14ac:dyDescent="0.3">
      <c r="A2" s="14">
        <v>50</v>
      </c>
      <c r="B2" s="16">
        <v>6.3200000000000006E-2</v>
      </c>
      <c r="C2" s="16"/>
      <c r="D2" s="16">
        <v>2.4485000000000001</v>
      </c>
      <c r="E2" s="16"/>
      <c r="F2" s="16"/>
      <c r="G2" s="16">
        <v>7.3499999999999996E-2</v>
      </c>
      <c r="H2" s="16"/>
      <c r="I2" s="16"/>
      <c r="J2" s="15">
        <v>1.88</v>
      </c>
      <c r="K2" s="15">
        <v>4.3</v>
      </c>
      <c r="L2" s="15">
        <v>6.53</v>
      </c>
      <c r="M2" s="15">
        <v>13.71</v>
      </c>
      <c r="N2" s="15">
        <v>16.899999999999999</v>
      </c>
      <c r="O2" s="15">
        <v>49.27</v>
      </c>
      <c r="P2" s="15">
        <v>60.82</v>
      </c>
      <c r="Q2" s="15">
        <v>55.58</v>
      </c>
      <c r="R2" s="16">
        <v>0.2954</v>
      </c>
      <c r="S2" s="16">
        <v>0.30009999999999998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6.3799999999999996E-2</v>
      </c>
      <c r="C3" s="20"/>
      <c r="D3" s="20">
        <v>2.4607999999999999</v>
      </c>
      <c r="E3" s="20"/>
      <c r="F3" s="20"/>
      <c r="G3" s="20">
        <v>7.3999999999999996E-2</v>
      </c>
      <c r="H3" s="20"/>
      <c r="I3" s="20"/>
      <c r="J3" s="19">
        <v>1.84</v>
      </c>
      <c r="K3" s="19">
        <v>4.04</v>
      </c>
      <c r="L3" s="19">
        <v>6.37</v>
      </c>
      <c r="M3" s="19">
        <v>13.3</v>
      </c>
      <c r="N3" s="19">
        <v>16.190000000000001</v>
      </c>
      <c r="O3" s="19">
        <v>46.31</v>
      </c>
      <c r="P3" s="19">
        <v>57.64</v>
      </c>
      <c r="Q3" s="19">
        <v>52.7</v>
      </c>
      <c r="R3" s="20">
        <v>0.29859999999999998</v>
      </c>
      <c r="S3" s="20">
        <v>0.30249999999999999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6.4299999999999996E-2</v>
      </c>
      <c r="C4" s="20"/>
      <c r="D4" s="20">
        <v>2.4731000000000001</v>
      </c>
      <c r="E4" s="20"/>
      <c r="F4" s="20"/>
      <c r="G4" s="20">
        <v>7.4399999999999994E-2</v>
      </c>
      <c r="H4" s="20"/>
      <c r="I4" s="20"/>
      <c r="J4" s="19">
        <v>1.79</v>
      </c>
      <c r="K4" s="19">
        <v>3.78</v>
      </c>
      <c r="L4" s="19">
        <v>6.2</v>
      </c>
      <c r="M4" s="19">
        <v>12.89</v>
      </c>
      <c r="N4" s="19">
        <v>15.49</v>
      </c>
      <c r="O4" s="19">
        <v>43.35</v>
      </c>
      <c r="P4" s="19">
        <v>54.45</v>
      </c>
      <c r="Q4" s="19">
        <v>49.83</v>
      </c>
      <c r="R4" s="20">
        <v>0.3019</v>
      </c>
      <c r="S4" s="20">
        <v>0.3049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6.4899999999999999E-2</v>
      </c>
      <c r="C5" s="20"/>
      <c r="D5" s="20">
        <v>2.4853999999999998</v>
      </c>
      <c r="E5" s="20"/>
      <c r="F5" s="20"/>
      <c r="G5" s="20">
        <v>7.4899999999999994E-2</v>
      </c>
      <c r="H5" s="20"/>
      <c r="I5" s="20"/>
      <c r="J5" s="19">
        <v>1.75</v>
      </c>
      <c r="K5" s="19">
        <v>3.52</v>
      </c>
      <c r="L5" s="19">
        <v>6.04</v>
      </c>
      <c r="M5" s="19">
        <v>12.48</v>
      </c>
      <c r="N5" s="19">
        <v>14.78</v>
      </c>
      <c r="O5" s="19">
        <v>40.39</v>
      </c>
      <c r="P5" s="19">
        <v>51.27</v>
      </c>
      <c r="Q5" s="19">
        <v>46.95</v>
      </c>
      <c r="R5" s="20">
        <v>0.30509999999999998</v>
      </c>
      <c r="S5" s="20">
        <v>0.30730000000000002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6.54E-2</v>
      </c>
      <c r="C6" s="20"/>
      <c r="D6" s="20">
        <v>2.4977</v>
      </c>
      <c r="E6" s="20"/>
      <c r="F6" s="20"/>
      <c r="G6" s="20">
        <v>7.5300000000000006E-2</v>
      </c>
      <c r="H6" s="20"/>
      <c r="I6" s="20"/>
      <c r="J6" s="19">
        <v>1.7</v>
      </c>
      <c r="K6" s="19">
        <v>3.26</v>
      </c>
      <c r="L6" s="19">
        <v>5.87</v>
      </c>
      <c r="M6" s="19">
        <v>12.07</v>
      </c>
      <c r="N6" s="19">
        <v>14.08</v>
      </c>
      <c r="O6" s="19">
        <v>37.43</v>
      </c>
      <c r="P6" s="19">
        <v>48.08</v>
      </c>
      <c r="Q6" s="19">
        <v>44.08</v>
      </c>
      <c r="R6" s="20">
        <v>0.30840000000000001</v>
      </c>
      <c r="S6" s="20">
        <v>0.30969999999999998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6.6000000000000003E-2</v>
      </c>
      <c r="C7" s="24"/>
      <c r="D7" s="24">
        <v>2.5099999999999998</v>
      </c>
      <c r="E7" s="24"/>
      <c r="F7" s="24"/>
      <c r="G7" s="24">
        <v>7.5800000000000006E-2</v>
      </c>
      <c r="H7" s="24"/>
      <c r="I7" s="24"/>
      <c r="J7" s="23">
        <v>1.66</v>
      </c>
      <c r="K7" s="23">
        <v>3</v>
      </c>
      <c r="L7" s="23">
        <v>5.71</v>
      </c>
      <c r="M7" s="23">
        <v>11.66</v>
      </c>
      <c r="N7" s="23">
        <v>13.37</v>
      </c>
      <c r="O7" s="23">
        <v>34.47</v>
      </c>
      <c r="P7" s="23">
        <v>44.9</v>
      </c>
      <c r="Q7" s="23">
        <v>41.2</v>
      </c>
      <c r="R7" s="24">
        <v>0.31169999999999998</v>
      </c>
      <c r="S7" s="24">
        <v>0.31209999999999999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6.6600000000000006E-2</v>
      </c>
      <c r="C8" s="20"/>
      <c r="D8" s="20">
        <v>2.5308000000000002</v>
      </c>
      <c r="E8" s="20"/>
      <c r="F8" s="20"/>
      <c r="G8" s="58">
        <v>7.6799999999999993E-2</v>
      </c>
      <c r="H8" s="58"/>
      <c r="I8" s="58"/>
      <c r="J8" s="19">
        <v>1.64</v>
      </c>
      <c r="K8" s="19">
        <v>2.95</v>
      </c>
      <c r="L8" s="19">
        <v>5.63</v>
      </c>
      <c r="M8" s="19">
        <v>11.52</v>
      </c>
      <c r="N8" s="19">
        <v>13.08</v>
      </c>
      <c r="O8" s="19">
        <v>33.659999999999997</v>
      </c>
      <c r="P8" s="19">
        <v>43.71</v>
      </c>
      <c r="Q8" s="19">
        <v>40.21</v>
      </c>
      <c r="R8" s="20">
        <v>0.31340000000000001</v>
      </c>
      <c r="S8" s="20">
        <v>0.3135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6.7199999999999996E-2</v>
      </c>
      <c r="C9" s="20"/>
      <c r="D9" s="20">
        <v>2.5516000000000001</v>
      </c>
      <c r="E9" s="20"/>
      <c r="F9" s="20"/>
      <c r="G9" s="58">
        <v>7.7799999999999994E-2</v>
      </c>
      <c r="H9" s="58"/>
      <c r="I9" s="58"/>
      <c r="J9" s="19">
        <v>1.62</v>
      </c>
      <c r="K9" s="19">
        <v>2.9</v>
      </c>
      <c r="L9" s="19">
        <v>5.54</v>
      </c>
      <c r="M9" s="19">
        <v>11.38</v>
      </c>
      <c r="N9" s="19">
        <v>12.8</v>
      </c>
      <c r="O9" s="19">
        <v>32.85</v>
      </c>
      <c r="P9" s="19">
        <v>42.52</v>
      </c>
      <c r="Q9" s="19">
        <v>39.22</v>
      </c>
      <c r="R9" s="20">
        <v>0.31509999999999999</v>
      </c>
      <c r="S9" s="20">
        <v>0.315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6.7799999999999999E-2</v>
      </c>
      <c r="C10" s="20"/>
      <c r="D10" s="20">
        <v>2.5724</v>
      </c>
      <c r="E10" s="20"/>
      <c r="F10" s="20"/>
      <c r="G10" s="58">
        <v>7.8799999999999995E-2</v>
      </c>
      <c r="H10" s="58"/>
      <c r="I10" s="58"/>
      <c r="J10" s="19">
        <v>1.6</v>
      </c>
      <c r="K10" s="19">
        <v>2.86</v>
      </c>
      <c r="L10" s="19">
        <v>5.46</v>
      </c>
      <c r="M10" s="19">
        <v>11.24</v>
      </c>
      <c r="N10" s="19">
        <v>12.51</v>
      </c>
      <c r="O10" s="19">
        <v>32.04</v>
      </c>
      <c r="P10" s="19">
        <v>41.34</v>
      </c>
      <c r="Q10" s="19">
        <v>38.22</v>
      </c>
      <c r="R10" s="20">
        <v>0.31680000000000003</v>
      </c>
      <c r="S10" s="20">
        <v>0.3165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6.8400000000000002E-2</v>
      </c>
      <c r="C11" s="20"/>
      <c r="D11" s="20">
        <v>2.5931999999999999</v>
      </c>
      <c r="E11" s="20"/>
      <c r="F11" s="20"/>
      <c r="G11" s="58">
        <v>7.9799999999999996E-2</v>
      </c>
      <c r="H11" s="58"/>
      <c r="I11" s="58"/>
      <c r="J11" s="19">
        <v>1.59</v>
      </c>
      <c r="K11" s="19">
        <v>2.81</v>
      </c>
      <c r="L11" s="19">
        <v>5.37</v>
      </c>
      <c r="M11" s="19">
        <v>11.11</v>
      </c>
      <c r="N11" s="19">
        <v>12.22</v>
      </c>
      <c r="O11" s="19">
        <v>31.23</v>
      </c>
      <c r="P11" s="19">
        <v>40.15</v>
      </c>
      <c r="Q11" s="19">
        <v>37.229999999999997</v>
      </c>
      <c r="R11" s="20">
        <v>0.31850000000000001</v>
      </c>
      <c r="S11" s="20">
        <v>0.318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6.9000000000000006E-2</v>
      </c>
      <c r="C12" s="29"/>
      <c r="D12" s="29">
        <v>3.0139999999999998</v>
      </c>
      <c r="E12" s="29"/>
      <c r="F12" s="29"/>
      <c r="G12" s="29">
        <v>8.0799999999999997E-2</v>
      </c>
      <c r="H12" s="29"/>
      <c r="I12" s="29"/>
      <c r="J12" s="28">
        <v>1.57</v>
      </c>
      <c r="K12" s="28">
        <v>2.76</v>
      </c>
      <c r="L12" s="28">
        <v>5.29</v>
      </c>
      <c r="M12" s="28">
        <v>10.97</v>
      </c>
      <c r="N12" s="28">
        <v>11.94</v>
      </c>
      <c r="O12" s="28">
        <v>30.42</v>
      </c>
      <c r="P12" s="28">
        <v>38.96</v>
      </c>
      <c r="Q12" s="28">
        <v>36.24</v>
      </c>
      <c r="R12" s="29">
        <v>0.32019999999999998</v>
      </c>
      <c r="S12" s="29">
        <v>0.31950000000000001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6.9599999999999995E-2</v>
      </c>
      <c r="C13" s="20"/>
      <c r="D13" s="20">
        <v>3.0348000000000002</v>
      </c>
      <c r="E13" s="20"/>
      <c r="F13" s="20"/>
      <c r="G13" s="58">
        <v>8.1799999999999998E-2</v>
      </c>
      <c r="H13" s="58"/>
      <c r="I13" s="58"/>
      <c r="J13" s="19">
        <v>1.55</v>
      </c>
      <c r="K13" s="19">
        <v>2.71</v>
      </c>
      <c r="L13" s="19">
        <v>5.2</v>
      </c>
      <c r="M13" s="19">
        <v>10.83</v>
      </c>
      <c r="N13" s="19">
        <v>11.65</v>
      </c>
      <c r="O13" s="19">
        <v>29.61</v>
      </c>
      <c r="P13" s="19">
        <v>37.770000000000003</v>
      </c>
      <c r="Q13" s="19">
        <v>35.25</v>
      </c>
      <c r="R13" s="20">
        <v>0.32190000000000002</v>
      </c>
      <c r="S13" s="20">
        <v>0.32100000000000001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7.0199999999999999E-2</v>
      </c>
      <c r="C14" s="20"/>
      <c r="D14" s="20">
        <v>3.0556000000000001</v>
      </c>
      <c r="E14" s="20"/>
      <c r="F14" s="20"/>
      <c r="G14" s="58">
        <v>8.2900000000000001E-2</v>
      </c>
      <c r="H14" s="58"/>
      <c r="I14" s="58"/>
      <c r="J14" s="19">
        <v>1.53</v>
      </c>
      <c r="K14" s="19">
        <v>2.66</v>
      </c>
      <c r="L14" s="19">
        <v>5.12</v>
      </c>
      <c r="M14" s="19">
        <v>10.69</v>
      </c>
      <c r="N14" s="19">
        <v>11.36</v>
      </c>
      <c r="O14" s="19">
        <v>28.79</v>
      </c>
      <c r="P14" s="19">
        <v>36.58</v>
      </c>
      <c r="Q14" s="19">
        <v>34.26</v>
      </c>
      <c r="R14" s="20">
        <v>0.3236</v>
      </c>
      <c r="S14" s="20">
        <v>0.32250000000000001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7.0800000000000002E-2</v>
      </c>
      <c r="C15" s="20"/>
      <c r="D15" s="20">
        <v>3.0764</v>
      </c>
      <c r="E15" s="20"/>
      <c r="F15" s="20"/>
      <c r="G15" s="58">
        <v>8.3900000000000002E-2</v>
      </c>
      <c r="H15" s="58"/>
      <c r="I15" s="58"/>
      <c r="J15" s="19">
        <v>1.51</v>
      </c>
      <c r="K15" s="19">
        <v>2.62</v>
      </c>
      <c r="L15" s="19">
        <v>5.03</v>
      </c>
      <c r="M15" s="19">
        <v>10.55</v>
      </c>
      <c r="N15" s="19">
        <v>11.08</v>
      </c>
      <c r="O15" s="19">
        <v>27.98</v>
      </c>
      <c r="P15" s="19">
        <v>35.4</v>
      </c>
      <c r="Q15" s="19">
        <v>33.26</v>
      </c>
      <c r="R15" s="20">
        <v>0.32540000000000002</v>
      </c>
      <c r="S15" s="20">
        <v>0.32400000000000001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7.1400000000000005E-2</v>
      </c>
      <c r="C16" s="20"/>
      <c r="D16" s="20">
        <v>3.0972</v>
      </c>
      <c r="E16" s="20"/>
      <c r="F16" s="20"/>
      <c r="G16" s="58">
        <v>8.4900000000000003E-2</v>
      </c>
      <c r="H16" s="58"/>
      <c r="I16" s="58"/>
      <c r="J16" s="19">
        <v>1.49</v>
      </c>
      <c r="K16" s="19">
        <v>2.57</v>
      </c>
      <c r="L16" s="19">
        <v>4.95</v>
      </c>
      <c r="M16" s="19">
        <v>10.41</v>
      </c>
      <c r="N16" s="19">
        <v>10.79</v>
      </c>
      <c r="O16" s="19">
        <v>27.17</v>
      </c>
      <c r="P16" s="19">
        <v>34.21</v>
      </c>
      <c r="Q16" s="19">
        <v>32.270000000000003</v>
      </c>
      <c r="R16" s="20">
        <v>0.3271</v>
      </c>
      <c r="S16" s="20">
        <v>0.32550000000000001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7.1999999999999995E-2</v>
      </c>
      <c r="C17" s="24"/>
      <c r="D17" s="24">
        <v>3.1179999999999999</v>
      </c>
      <c r="E17" s="24"/>
      <c r="F17" s="24"/>
      <c r="G17" s="24">
        <v>8.5900000000000004E-2</v>
      </c>
      <c r="H17" s="24"/>
      <c r="I17" s="24"/>
      <c r="J17" s="23">
        <v>1.48</v>
      </c>
      <c r="K17" s="23">
        <v>2.52</v>
      </c>
      <c r="L17" s="23">
        <v>4.87</v>
      </c>
      <c r="M17" s="23">
        <v>10.28</v>
      </c>
      <c r="N17" s="23">
        <v>10.5</v>
      </c>
      <c r="O17" s="23">
        <v>26.36</v>
      </c>
      <c r="P17" s="23">
        <v>33.020000000000003</v>
      </c>
      <c r="Q17" s="23">
        <v>31.28</v>
      </c>
      <c r="R17" s="24">
        <v>0.32879999999999998</v>
      </c>
      <c r="S17" s="24">
        <v>0.32700000000000001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7.2599999999999998E-2</v>
      </c>
      <c r="C18" s="20"/>
      <c r="D18" s="20">
        <v>3.1387999999999998</v>
      </c>
      <c r="E18" s="20"/>
      <c r="F18" s="20"/>
      <c r="G18" s="58">
        <v>8.6900000000000005E-2</v>
      </c>
      <c r="H18" s="58"/>
      <c r="I18" s="58"/>
      <c r="J18" s="19">
        <v>1.46</v>
      </c>
      <c r="K18" s="19">
        <v>2.4700000000000002</v>
      </c>
      <c r="L18" s="19">
        <v>4.78</v>
      </c>
      <c r="M18" s="19">
        <v>10.14</v>
      </c>
      <c r="N18" s="19">
        <v>10.220000000000001</v>
      </c>
      <c r="O18" s="19">
        <v>25.55</v>
      </c>
      <c r="P18" s="19">
        <v>31.83</v>
      </c>
      <c r="Q18" s="19">
        <v>30.29</v>
      </c>
      <c r="R18" s="20">
        <v>0.33050000000000002</v>
      </c>
      <c r="S18" s="20">
        <v>0.32850000000000001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7.3200000000000001E-2</v>
      </c>
      <c r="C19" s="20"/>
      <c r="D19" s="20">
        <v>3.1596000000000002</v>
      </c>
      <c r="E19" s="20"/>
      <c r="F19" s="20"/>
      <c r="G19" s="58">
        <v>8.7900000000000006E-2</v>
      </c>
      <c r="H19" s="58"/>
      <c r="I19" s="58"/>
      <c r="J19" s="19">
        <v>1.44</v>
      </c>
      <c r="K19" s="19">
        <v>2.42</v>
      </c>
      <c r="L19" s="19">
        <v>4.7</v>
      </c>
      <c r="M19" s="19">
        <v>10</v>
      </c>
      <c r="N19" s="19">
        <v>9.93</v>
      </c>
      <c r="O19" s="19">
        <v>24.74</v>
      </c>
      <c r="P19" s="19">
        <v>30.64</v>
      </c>
      <c r="Q19" s="19">
        <v>29.3</v>
      </c>
      <c r="R19" s="20">
        <v>0.3322</v>
      </c>
      <c r="S19" s="20">
        <v>0.33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7.3800000000000004E-2</v>
      </c>
      <c r="C20" s="20"/>
      <c r="D20" s="20">
        <v>3.1804000000000001</v>
      </c>
      <c r="E20" s="20"/>
      <c r="F20" s="20"/>
      <c r="G20" s="58">
        <v>8.8900000000000007E-2</v>
      </c>
      <c r="H20" s="58"/>
      <c r="I20" s="58"/>
      <c r="J20" s="19">
        <v>1.42</v>
      </c>
      <c r="K20" s="19">
        <v>2.38</v>
      </c>
      <c r="L20" s="19">
        <v>4.6100000000000003</v>
      </c>
      <c r="M20" s="19">
        <v>9.86</v>
      </c>
      <c r="N20" s="19">
        <v>9.64</v>
      </c>
      <c r="O20" s="19">
        <v>23.93</v>
      </c>
      <c r="P20" s="19">
        <v>29.46</v>
      </c>
      <c r="Q20" s="19">
        <v>28.3</v>
      </c>
      <c r="R20" s="20">
        <v>0.33389999999999997</v>
      </c>
      <c r="S20" s="20">
        <v>0.33150000000000002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7.4399999999999994E-2</v>
      </c>
      <c r="C21" s="20"/>
      <c r="D21" s="20">
        <v>3.2012</v>
      </c>
      <c r="E21" s="20"/>
      <c r="F21" s="20"/>
      <c r="G21" s="58">
        <v>8.9899999999999994E-2</v>
      </c>
      <c r="H21" s="58"/>
      <c r="I21" s="58"/>
      <c r="J21" s="19">
        <v>1.4</v>
      </c>
      <c r="K21" s="19">
        <v>2.33</v>
      </c>
      <c r="L21" s="19">
        <v>4.53</v>
      </c>
      <c r="M21" s="19">
        <v>9.7200000000000006</v>
      </c>
      <c r="N21" s="19">
        <v>9.35</v>
      </c>
      <c r="O21" s="19">
        <v>23.12</v>
      </c>
      <c r="P21" s="19">
        <v>28.27</v>
      </c>
      <c r="Q21" s="19">
        <v>27.31</v>
      </c>
      <c r="R21" s="20">
        <v>0.33560000000000001</v>
      </c>
      <c r="S21" s="20">
        <v>0.33300000000000002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7.4999999999999997E-2</v>
      </c>
      <c r="C22" s="29"/>
      <c r="D22" s="29">
        <v>3.222</v>
      </c>
      <c r="E22" s="29"/>
      <c r="F22" s="29"/>
      <c r="G22" s="29">
        <v>9.0899999999999995E-2</v>
      </c>
      <c r="H22" s="29"/>
      <c r="I22" s="29"/>
      <c r="J22" s="28">
        <v>1.38</v>
      </c>
      <c r="K22" s="28">
        <v>2.2799999999999998</v>
      </c>
      <c r="L22" s="28">
        <v>4.4400000000000004</v>
      </c>
      <c r="M22" s="28">
        <v>9.58</v>
      </c>
      <c r="N22" s="28">
        <v>9.07</v>
      </c>
      <c r="O22" s="28">
        <v>22.31</v>
      </c>
      <c r="P22" s="28">
        <v>27.08</v>
      </c>
      <c r="Q22" s="28">
        <v>26.32</v>
      </c>
      <c r="R22" s="29">
        <v>0.33739999999999998</v>
      </c>
      <c r="S22" s="29">
        <v>0.33450000000000002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7.5600000000000001E-2</v>
      </c>
      <c r="C23" s="20"/>
      <c r="D23" s="20">
        <v>3.2427999999999999</v>
      </c>
      <c r="E23" s="20"/>
      <c r="F23" s="20"/>
      <c r="G23" s="58">
        <v>9.1899999999999996E-2</v>
      </c>
      <c r="H23" s="58"/>
      <c r="I23" s="58"/>
      <c r="J23" s="19">
        <v>1.37</v>
      </c>
      <c r="K23" s="19">
        <v>2.23</v>
      </c>
      <c r="L23" s="19">
        <v>4.3600000000000003</v>
      </c>
      <c r="M23" s="19">
        <v>9.4499999999999993</v>
      </c>
      <c r="N23" s="19">
        <v>8.7799999999999994</v>
      </c>
      <c r="O23" s="19">
        <v>21.5</v>
      </c>
      <c r="P23" s="19">
        <v>25.89</v>
      </c>
      <c r="Q23" s="19">
        <v>25.33</v>
      </c>
      <c r="R23" s="20">
        <v>0.33810000000000001</v>
      </c>
      <c r="S23" s="20">
        <v>0.33510000000000001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7.6200000000000004E-2</v>
      </c>
      <c r="C24" s="20"/>
      <c r="D24" s="20">
        <v>3.2635999999999998</v>
      </c>
      <c r="E24" s="20"/>
      <c r="F24" s="20"/>
      <c r="G24" s="58">
        <v>9.2899999999999996E-2</v>
      </c>
      <c r="H24" s="58"/>
      <c r="I24" s="58"/>
      <c r="J24" s="19">
        <v>1.35</v>
      </c>
      <c r="K24" s="19">
        <v>2.1800000000000002</v>
      </c>
      <c r="L24" s="19">
        <v>4.28</v>
      </c>
      <c r="M24" s="19">
        <v>9.31</v>
      </c>
      <c r="N24" s="19">
        <v>8.49</v>
      </c>
      <c r="O24" s="19">
        <v>20.69</v>
      </c>
      <c r="P24" s="19">
        <v>24.7</v>
      </c>
      <c r="Q24" s="19">
        <v>24.34</v>
      </c>
      <c r="R24" s="20">
        <v>0.33889999999999998</v>
      </c>
      <c r="S24" s="20">
        <v>0.33579999999999999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7.6799999999999993E-2</v>
      </c>
      <c r="C25" s="20"/>
      <c r="D25" s="20">
        <v>3.2844000000000002</v>
      </c>
      <c r="E25" s="20"/>
      <c r="F25" s="20"/>
      <c r="G25" s="58">
        <v>9.3899999999999997E-2</v>
      </c>
      <c r="H25" s="58"/>
      <c r="I25" s="58"/>
      <c r="J25" s="19">
        <v>1.33</v>
      </c>
      <c r="K25" s="19">
        <v>2.14</v>
      </c>
      <c r="L25" s="19">
        <v>4.1900000000000004</v>
      </c>
      <c r="M25" s="19">
        <v>9.17</v>
      </c>
      <c r="N25" s="19">
        <v>8.2100000000000009</v>
      </c>
      <c r="O25" s="19">
        <v>19.88</v>
      </c>
      <c r="P25" s="19">
        <v>23.52</v>
      </c>
      <c r="Q25" s="19">
        <v>23.34</v>
      </c>
      <c r="R25" s="20">
        <v>0.33960000000000001</v>
      </c>
      <c r="S25" s="20">
        <v>0.33639999999999998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7.7399999999999997E-2</v>
      </c>
      <c r="C26" s="20"/>
      <c r="D26" s="20">
        <v>3.3052000000000001</v>
      </c>
      <c r="E26" s="20"/>
      <c r="F26" s="20"/>
      <c r="G26" s="58">
        <v>9.5000000000000001E-2</v>
      </c>
      <c r="H26" s="58"/>
      <c r="I26" s="58"/>
      <c r="J26" s="19">
        <v>1.31</v>
      </c>
      <c r="K26" s="19">
        <v>2.09</v>
      </c>
      <c r="L26" s="19">
        <v>4.1100000000000003</v>
      </c>
      <c r="M26" s="19">
        <v>9.0299999999999994</v>
      </c>
      <c r="N26" s="19">
        <v>7.92</v>
      </c>
      <c r="O26" s="19">
        <v>19.059999999999999</v>
      </c>
      <c r="P26" s="19">
        <v>22.33</v>
      </c>
      <c r="Q26" s="19">
        <v>22.35</v>
      </c>
      <c r="R26" s="20">
        <v>0.34039999999999998</v>
      </c>
      <c r="S26" s="20">
        <v>0.33710000000000001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7.8E-2</v>
      </c>
      <c r="C27" s="24"/>
      <c r="D27" s="24">
        <v>3.3260000000000001</v>
      </c>
      <c r="E27" s="24"/>
      <c r="F27" s="24"/>
      <c r="G27" s="24">
        <v>9.6000000000000002E-2</v>
      </c>
      <c r="H27" s="24"/>
      <c r="I27" s="24"/>
      <c r="J27" s="23">
        <v>1.29</v>
      </c>
      <c r="K27" s="23">
        <v>2.04</v>
      </c>
      <c r="L27" s="23">
        <v>4.0199999999999996</v>
      </c>
      <c r="M27" s="23">
        <v>8.89</v>
      </c>
      <c r="N27" s="23">
        <v>7.63</v>
      </c>
      <c r="O27" s="23">
        <v>18.25</v>
      </c>
      <c r="P27" s="23">
        <v>21.14</v>
      </c>
      <c r="Q27" s="23">
        <v>21.36</v>
      </c>
      <c r="R27" s="24">
        <v>0.3412</v>
      </c>
      <c r="S27" s="24">
        <v>0.33779999999999999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7.8600000000000003E-2</v>
      </c>
      <c r="C28" s="20"/>
      <c r="D28" s="20">
        <v>3.3468</v>
      </c>
      <c r="E28" s="20"/>
      <c r="F28" s="20"/>
      <c r="G28" s="58">
        <v>9.7000000000000003E-2</v>
      </c>
      <c r="H28" s="58"/>
      <c r="I28" s="58"/>
      <c r="J28" s="19">
        <v>1.27</v>
      </c>
      <c r="K28" s="19">
        <v>1.99</v>
      </c>
      <c r="L28" s="19">
        <v>3.94</v>
      </c>
      <c r="M28" s="19">
        <v>8.75</v>
      </c>
      <c r="N28" s="19">
        <v>7.35</v>
      </c>
      <c r="O28" s="19">
        <v>17.440000000000001</v>
      </c>
      <c r="P28" s="19">
        <v>19.95</v>
      </c>
      <c r="Q28" s="19">
        <v>20.37</v>
      </c>
      <c r="R28" s="20">
        <v>0.34189999999999998</v>
      </c>
      <c r="S28" s="20">
        <v>0.33839999999999998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7.9200000000000007E-2</v>
      </c>
      <c r="C29" s="20"/>
      <c r="D29" s="20">
        <v>3.3675999999999999</v>
      </c>
      <c r="E29" s="20"/>
      <c r="F29" s="20"/>
      <c r="G29" s="58">
        <v>9.8000000000000004E-2</v>
      </c>
      <c r="H29" s="58"/>
      <c r="I29" s="58"/>
      <c r="J29" s="19">
        <v>1.26</v>
      </c>
      <c r="K29" s="19">
        <v>1.94</v>
      </c>
      <c r="L29" s="19">
        <v>3.85</v>
      </c>
      <c r="M29" s="19">
        <v>8.6199999999999992</v>
      </c>
      <c r="N29" s="19">
        <v>7.06</v>
      </c>
      <c r="O29" s="19">
        <v>16.63</v>
      </c>
      <c r="P29" s="19">
        <v>18.760000000000002</v>
      </c>
      <c r="Q29" s="19">
        <v>19.38</v>
      </c>
      <c r="R29" s="20">
        <v>0.3427</v>
      </c>
      <c r="S29" s="20">
        <v>0.33910000000000001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7.9799999999999996E-2</v>
      </c>
      <c r="C30" s="20"/>
      <c r="D30" s="20">
        <v>3.3883999999999999</v>
      </c>
      <c r="E30" s="20"/>
      <c r="F30" s="20"/>
      <c r="G30" s="58">
        <v>9.9000000000000005E-2</v>
      </c>
      <c r="H30" s="58"/>
      <c r="I30" s="58"/>
      <c r="J30" s="19">
        <v>1.24</v>
      </c>
      <c r="K30" s="19">
        <v>1.9</v>
      </c>
      <c r="L30" s="19">
        <v>3.77</v>
      </c>
      <c r="M30" s="19">
        <v>8.48</v>
      </c>
      <c r="N30" s="19">
        <v>6.77</v>
      </c>
      <c r="O30" s="19">
        <v>15.82</v>
      </c>
      <c r="P30" s="19">
        <v>17.579999999999998</v>
      </c>
      <c r="Q30" s="19">
        <v>18.38</v>
      </c>
      <c r="R30" s="20">
        <v>0.34339999999999998</v>
      </c>
      <c r="S30" s="20">
        <v>0.3397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8.0399999999999999E-2</v>
      </c>
      <c r="C31" s="20"/>
      <c r="D31" s="20">
        <v>3.4091999999999998</v>
      </c>
      <c r="E31" s="20"/>
      <c r="F31" s="20"/>
      <c r="G31" s="58">
        <v>0.1</v>
      </c>
      <c r="H31" s="58"/>
      <c r="I31" s="58"/>
      <c r="J31" s="19">
        <v>1.22</v>
      </c>
      <c r="K31" s="19">
        <v>1.85</v>
      </c>
      <c r="L31" s="19">
        <v>3.68</v>
      </c>
      <c r="M31" s="19">
        <v>8.34</v>
      </c>
      <c r="N31" s="19">
        <v>6.49</v>
      </c>
      <c r="O31" s="19">
        <v>15.01</v>
      </c>
      <c r="P31" s="19">
        <v>16.39</v>
      </c>
      <c r="Q31" s="19">
        <v>17.39</v>
      </c>
      <c r="R31" s="20">
        <v>0.34420000000000001</v>
      </c>
      <c r="S31" s="20">
        <v>0.34039999999999998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8.1000000000000003E-2</v>
      </c>
      <c r="C32" s="29"/>
      <c r="D32" s="29">
        <v>3.43</v>
      </c>
      <c r="E32" s="29"/>
      <c r="F32" s="29"/>
      <c r="G32" s="29">
        <v>0.10100000000000001</v>
      </c>
      <c r="H32" s="29"/>
      <c r="I32" s="29"/>
      <c r="J32" s="28">
        <v>1.2</v>
      </c>
      <c r="K32" s="28">
        <v>1.8</v>
      </c>
      <c r="L32" s="28">
        <v>3.6</v>
      </c>
      <c r="M32" s="28">
        <v>8.1999999999999993</v>
      </c>
      <c r="N32" s="28">
        <v>6.2</v>
      </c>
      <c r="O32" s="28">
        <v>14.2</v>
      </c>
      <c r="P32" s="28">
        <v>15.2</v>
      </c>
      <c r="Q32" s="28">
        <v>16.399999999999999</v>
      </c>
      <c r="R32" s="29">
        <v>0.34499999999999997</v>
      </c>
      <c r="S32" s="29">
        <v>0.34110000000000001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8.2400000000000001E-2</v>
      </c>
      <c r="C33" s="20"/>
      <c r="D33" s="20">
        <v>3.4863</v>
      </c>
      <c r="E33" s="20"/>
      <c r="F33" s="20"/>
      <c r="G33" s="58">
        <v>0.1038</v>
      </c>
      <c r="H33" s="58"/>
      <c r="I33" s="58"/>
      <c r="J33" s="19">
        <v>1.19</v>
      </c>
      <c r="K33" s="19">
        <v>1.77</v>
      </c>
      <c r="L33" s="19">
        <v>3.52</v>
      </c>
      <c r="M33" s="19">
        <v>8.0399999999999991</v>
      </c>
      <c r="N33" s="19">
        <v>6.04</v>
      </c>
      <c r="O33" s="19">
        <v>13.79</v>
      </c>
      <c r="P33" s="19">
        <v>14.72</v>
      </c>
      <c r="Q33" s="19">
        <v>15.85</v>
      </c>
      <c r="R33" s="20">
        <v>0.34670000000000001</v>
      </c>
      <c r="S33" s="20">
        <v>0.3427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8.3799999999999999E-2</v>
      </c>
      <c r="C34" s="20"/>
      <c r="D34" s="20">
        <v>3.5426000000000002</v>
      </c>
      <c r="E34" s="20"/>
      <c r="F34" s="20"/>
      <c r="G34" s="58">
        <v>0.1067</v>
      </c>
      <c r="H34" s="58"/>
      <c r="I34" s="58"/>
      <c r="J34" s="19">
        <v>1.17</v>
      </c>
      <c r="K34" s="19">
        <v>1.74</v>
      </c>
      <c r="L34" s="19">
        <v>3.44</v>
      </c>
      <c r="M34" s="19">
        <v>7.88</v>
      </c>
      <c r="N34" s="19">
        <v>5.87</v>
      </c>
      <c r="O34" s="19">
        <v>13.38</v>
      </c>
      <c r="P34" s="19">
        <v>14.23</v>
      </c>
      <c r="Q34" s="19">
        <v>15.31</v>
      </c>
      <c r="R34" s="20">
        <v>0.34839999999999999</v>
      </c>
      <c r="S34" s="20">
        <v>0.34439999999999998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8.5300000000000001E-2</v>
      </c>
      <c r="C35" s="20"/>
      <c r="D35" s="20">
        <v>3.5989</v>
      </c>
      <c r="E35" s="20"/>
      <c r="F35" s="20"/>
      <c r="G35" s="58">
        <v>0.1095</v>
      </c>
      <c r="H35" s="58"/>
      <c r="I35" s="58"/>
      <c r="J35" s="19">
        <v>1.1599999999999999</v>
      </c>
      <c r="K35" s="19">
        <v>1.71</v>
      </c>
      <c r="L35" s="19">
        <v>3.36</v>
      </c>
      <c r="M35" s="19">
        <v>7.73</v>
      </c>
      <c r="N35" s="19">
        <v>5.71</v>
      </c>
      <c r="O35" s="19">
        <v>12.97</v>
      </c>
      <c r="P35" s="19">
        <v>13.75</v>
      </c>
      <c r="Q35" s="19">
        <v>14.76</v>
      </c>
      <c r="R35" s="20">
        <v>0.35010000000000002</v>
      </c>
      <c r="S35" s="20">
        <v>0.34610000000000002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8.6699999999999999E-2</v>
      </c>
      <c r="C36" s="20"/>
      <c r="D36" s="20">
        <v>4.0552999999999999</v>
      </c>
      <c r="E36" s="20"/>
      <c r="F36" s="20"/>
      <c r="G36" s="58">
        <v>0.1124</v>
      </c>
      <c r="H36" s="58"/>
      <c r="I36" s="58"/>
      <c r="J36" s="19">
        <v>1.1399999999999999</v>
      </c>
      <c r="K36" s="19">
        <v>1.67</v>
      </c>
      <c r="L36" s="19">
        <v>3.28</v>
      </c>
      <c r="M36" s="19">
        <v>7.57</v>
      </c>
      <c r="N36" s="19">
        <v>5.55</v>
      </c>
      <c r="O36" s="19">
        <v>12.56</v>
      </c>
      <c r="P36" s="19">
        <v>13.26</v>
      </c>
      <c r="Q36" s="19">
        <v>14.21</v>
      </c>
      <c r="R36" s="20">
        <v>0.3518</v>
      </c>
      <c r="S36" s="20">
        <v>0.3478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8.8099999999999998E-2</v>
      </c>
      <c r="C37" s="24"/>
      <c r="D37" s="24">
        <v>4.1116000000000001</v>
      </c>
      <c r="E37" s="24"/>
      <c r="F37" s="24"/>
      <c r="G37" s="24">
        <v>0.1152</v>
      </c>
      <c r="H37" s="24"/>
      <c r="I37" s="24"/>
      <c r="J37" s="23">
        <v>1.1299999999999999</v>
      </c>
      <c r="K37" s="23">
        <v>1.64</v>
      </c>
      <c r="L37" s="23">
        <v>3.21</v>
      </c>
      <c r="M37" s="23">
        <v>7.41</v>
      </c>
      <c r="N37" s="23">
        <v>5.38</v>
      </c>
      <c r="O37" s="23">
        <v>12.15</v>
      </c>
      <c r="P37" s="23">
        <v>12.78</v>
      </c>
      <c r="Q37" s="23">
        <v>13.66</v>
      </c>
      <c r="R37" s="24">
        <v>0.35360000000000003</v>
      </c>
      <c r="S37" s="24">
        <v>0.34949999999999998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8.9499999999999996E-2</v>
      </c>
      <c r="C38" s="20"/>
      <c r="D38" s="20">
        <v>4.1679000000000004</v>
      </c>
      <c r="E38" s="20"/>
      <c r="F38" s="20"/>
      <c r="G38" s="58">
        <v>0.1181</v>
      </c>
      <c r="H38" s="58"/>
      <c r="I38" s="58"/>
      <c r="J38" s="19">
        <v>1.1100000000000001</v>
      </c>
      <c r="K38" s="19">
        <v>1.61</v>
      </c>
      <c r="L38" s="19">
        <v>3.13</v>
      </c>
      <c r="M38" s="19">
        <v>7.25</v>
      </c>
      <c r="N38" s="19">
        <v>5.22</v>
      </c>
      <c r="O38" s="19">
        <v>11.74</v>
      </c>
      <c r="P38" s="19">
        <v>12.29</v>
      </c>
      <c r="Q38" s="19">
        <v>13.12</v>
      </c>
      <c r="R38" s="20">
        <v>0.35630000000000001</v>
      </c>
      <c r="S38" s="20">
        <v>0.35310000000000002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9.0899999999999995E-2</v>
      </c>
      <c r="C39" s="20"/>
      <c r="D39" s="20">
        <v>4.2241999999999997</v>
      </c>
      <c r="E39" s="20"/>
      <c r="F39" s="20"/>
      <c r="G39" s="58">
        <v>0.12089999999999999</v>
      </c>
      <c r="H39" s="58"/>
      <c r="I39" s="58"/>
      <c r="J39" s="19">
        <v>1.1000000000000001</v>
      </c>
      <c r="K39" s="19">
        <v>1.58</v>
      </c>
      <c r="L39" s="19">
        <v>3.05</v>
      </c>
      <c r="M39" s="19">
        <v>7.09</v>
      </c>
      <c r="N39" s="19">
        <v>5.0599999999999996</v>
      </c>
      <c r="O39" s="19">
        <v>11.33</v>
      </c>
      <c r="P39" s="19">
        <v>11.81</v>
      </c>
      <c r="Q39" s="19">
        <v>12.57</v>
      </c>
      <c r="R39" s="20">
        <v>0.35909999999999997</v>
      </c>
      <c r="S39" s="20">
        <v>0.35670000000000002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9.2399999999999996E-2</v>
      </c>
      <c r="C40" s="20"/>
      <c r="D40" s="20">
        <v>4.2805</v>
      </c>
      <c r="E40" s="20"/>
      <c r="F40" s="20"/>
      <c r="G40" s="58">
        <v>0.1237</v>
      </c>
      <c r="H40" s="58"/>
      <c r="I40" s="58"/>
      <c r="J40" s="19">
        <v>1.08</v>
      </c>
      <c r="K40" s="19">
        <v>1.55</v>
      </c>
      <c r="L40" s="19">
        <v>2.97</v>
      </c>
      <c r="M40" s="19">
        <v>6.94</v>
      </c>
      <c r="N40" s="19">
        <v>4.8899999999999997</v>
      </c>
      <c r="O40" s="19">
        <v>10.92</v>
      </c>
      <c r="P40" s="19">
        <v>11.33</v>
      </c>
      <c r="Q40" s="19">
        <v>12.02</v>
      </c>
      <c r="R40" s="20">
        <v>0.3619</v>
      </c>
      <c r="S40" s="20">
        <v>0.36030000000000001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9.3799999999999994E-2</v>
      </c>
      <c r="C41" s="20"/>
      <c r="D41" s="20">
        <v>4.3368000000000002</v>
      </c>
      <c r="E41" s="20"/>
      <c r="F41" s="20"/>
      <c r="G41" s="58">
        <v>0.12659999999999999</v>
      </c>
      <c r="H41" s="58"/>
      <c r="I41" s="58"/>
      <c r="J41" s="19">
        <v>1.07</v>
      </c>
      <c r="K41" s="19">
        <v>1.52</v>
      </c>
      <c r="L41" s="19">
        <v>2.89</v>
      </c>
      <c r="M41" s="19">
        <v>6.78</v>
      </c>
      <c r="N41" s="19">
        <v>4.7300000000000004</v>
      </c>
      <c r="O41" s="19">
        <v>10.51</v>
      </c>
      <c r="P41" s="19">
        <v>10.84</v>
      </c>
      <c r="Q41" s="19">
        <v>11.47</v>
      </c>
      <c r="R41" s="20">
        <v>0.36470000000000002</v>
      </c>
      <c r="S41" s="20">
        <v>0.3639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9.5200000000000007E-2</v>
      </c>
      <c r="C42" s="29"/>
      <c r="D42" s="29">
        <v>4.3932000000000002</v>
      </c>
      <c r="E42" s="29"/>
      <c r="F42" s="29"/>
      <c r="G42" s="29">
        <v>0.12939999999999999</v>
      </c>
      <c r="H42" s="29"/>
      <c r="I42" s="29"/>
      <c r="J42" s="28">
        <v>1.05</v>
      </c>
      <c r="K42" s="28">
        <v>1.48</v>
      </c>
      <c r="L42" s="28">
        <v>2.81</v>
      </c>
      <c r="M42" s="28">
        <v>6.62</v>
      </c>
      <c r="N42" s="28">
        <v>4.57</v>
      </c>
      <c r="O42" s="28">
        <v>10.09</v>
      </c>
      <c r="P42" s="28">
        <v>10.36</v>
      </c>
      <c r="Q42" s="28">
        <v>10.93</v>
      </c>
      <c r="R42" s="29">
        <v>0.36749999999999999</v>
      </c>
      <c r="S42" s="29">
        <v>0.36749999999999999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9.6600000000000005E-2</v>
      </c>
      <c r="C43" s="20"/>
      <c r="D43" s="20">
        <v>4.4494999999999996</v>
      </c>
      <c r="E43" s="20"/>
      <c r="F43" s="20"/>
      <c r="G43" s="58">
        <v>0.1323</v>
      </c>
      <c r="H43" s="58"/>
      <c r="I43" s="58"/>
      <c r="J43" s="19">
        <v>1.04</v>
      </c>
      <c r="K43" s="19">
        <v>1.45</v>
      </c>
      <c r="L43" s="19">
        <v>2.73</v>
      </c>
      <c r="M43" s="19">
        <v>6.46</v>
      </c>
      <c r="N43" s="19">
        <v>4.41</v>
      </c>
      <c r="O43" s="19">
        <v>9.68</v>
      </c>
      <c r="P43" s="19">
        <v>9.8699999999999992</v>
      </c>
      <c r="Q43" s="19">
        <v>10.38</v>
      </c>
      <c r="R43" s="20">
        <v>0.37030000000000002</v>
      </c>
      <c r="S43" s="20">
        <v>0.37109999999999999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9.8100000000000007E-2</v>
      </c>
      <c r="C44" s="20"/>
      <c r="D44" s="20">
        <v>4.5057999999999998</v>
      </c>
      <c r="E44" s="20"/>
      <c r="F44" s="20"/>
      <c r="G44" s="58">
        <v>0.1351</v>
      </c>
      <c r="H44" s="58"/>
      <c r="I44" s="58"/>
      <c r="J44" s="19">
        <v>1.02</v>
      </c>
      <c r="K44" s="19">
        <v>1.42</v>
      </c>
      <c r="L44" s="19">
        <v>2.65</v>
      </c>
      <c r="M44" s="19">
        <v>6.31</v>
      </c>
      <c r="N44" s="19">
        <v>4.24</v>
      </c>
      <c r="O44" s="19">
        <v>9.27</v>
      </c>
      <c r="P44" s="19">
        <v>9.39</v>
      </c>
      <c r="Q44" s="19">
        <v>9.83</v>
      </c>
      <c r="R44" s="20">
        <v>0.37309999999999999</v>
      </c>
      <c r="S44" s="20">
        <v>0.37469999999999998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9.9500000000000005E-2</v>
      </c>
      <c r="C45" s="20"/>
      <c r="D45" s="20">
        <v>4.5621</v>
      </c>
      <c r="E45" s="20"/>
      <c r="F45" s="20"/>
      <c r="G45" s="58">
        <v>0.13789999999999999</v>
      </c>
      <c r="H45" s="58"/>
      <c r="I45" s="58"/>
      <c r="J45" s="19">
        <v>1.01</v>
      </c>
      <c r="K45" s="19">
        <v>1.39</v>
      </c>
      <c r="L45" s="19">
        <v>2.57</v>
      </c>
      <c r="M45" s="19">
        <v>6.15</v>
      </c>
      <c r="N45" s="19">
        <v>4.08</v>
      </c>
      <c r="O45" s="19">
        <v>8.86</v>
      </c>
      <c r="P45" s="19">
        <v>8.91</v>
      </c>
      <c r="Q45" s="19">
        <v>9.2799999999999994</v>
      </c>
      <c r="R45" s="20">
        <v>0.37590000000000001</v>
      </c>
      <c r="S45" s="20">
        <v>0.37830000000000003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0.1009</v>
      </c>
      <c r="C46" s="20"/>
      <c r="D46" s="20">
        <v>5.0183999999999997</v>
      </c>
      <c r="E46" s="20"/>
      <c r="F46" s="20"/>
      <c r="G46" s="58">
        <v>0.14080000000000001</v>
      </c>
      <c r="H46" s="58"/>
      <c r="I46" s="58"/>
      <c r="J46" s="19">
        <v>0.99</v>
      </c>
      <c r="K46" s="19">
        <v>1.36</v>
      </c>
      <c r="L46" s="19">
        <v>2.4900000000000002</v>
      </c>
      <c r="M46" s="19">
        <v>5.99</v>
      </c>
      <c r="N46" s="19">
        <v>3.92</v>
      </c>
      <c r="O46" s="19">
        <v>8.4499999999999993</v>
      </c>
      <c r="P46" s="19">
        <v>8.42</v>
      </c>
      <c r="Q46" s="19">
        <v>8.74</v>
      </c>
      <c r="R46" s="20">
        <v>0.37869999999999998</v>
      </c>
      <c r="S46" s="20">
        <v>0.38190000000000002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0.1023</v>
      </c>
      <c r="C47" s="24"/>
      <c r="D47" s="24">
        <v>5.0747</v>
      </c>
      <c r="E47" s="24"/>
      <c r="F47" s="24"/>
      <c r="G47" s="24">
        <v>0.14360000000000001</v>
      </c>
      <c r="H47" s="24"/>
      <c r="I47" s="24"/>
      <c r="J47" s="23">
        <v>0.98</v>
      </c>
      <c r="K47" s="23">
        <v>1.33</v>
      </c>
      <c r="L47" s="23">
        <v>2.42</v>
      </c>
      <c r="M47" s="23">
        <v>5.83</v>
      </c>
      <c r="N47" s="23">
        <v>3.75</v>
      </c>
      <c r="O47" s="23">
        <v>8.0399999999999991</v>
      </c>
      <c r="P47" s="23">
        <v>7.94</v>
      </c>
      <c r="Q47" s="23">
        <v>8.19</v>
      </c>
      <c r="R47" s="24">
        <v>0.38150000000000001</v>
      </c>
      <c r="S47" s="24">
        <v>0.38550000000000001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0.1037</v>
      </c>
      <c r="C48" s="20"/>
      <c r="D48" s="20">
        <v>5.1311</v>
      </c>
      <c r="E48" s="20"/>
      <c r="F48" s="20"/>
      <c r="G48" s="20">
        <v>0.14649999999999999</v>
      </c>
      <c r="H48" s="20"/>
      <c r="I48" s="20"/>
      <c r="J48" s="19">
        <v>0.96</v>
      </c>
      <c r="K48" s="19">
        <v>1.29</v>
      </c>
      <c r="L48" s="19">
        <v>2.34</v>
      </c>
      <c r="M48" s="19">
        <v>5.67</v>
      </c>
      <c r="N48" s="19">
        <v>3.59</v>
      </c>
      <c r="O48" s="19">
        <v>7.63</v>
      </c>
      <c r="P48" s="19">
        <v>7.45</v>
      </c>
      <c r="Q48" s="19">
        <v>7.64</v>
      </c>
      <c r="R48" s="20">
        <v>0.38429999999999997</v>
      </c>
      <c r="S48" s="20">
        <v>0.3891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0.1052</v>
      </c>
      <c r="C49" s="20"/>
      <c r="D49" s="20">
        <v>5.1874000000000002</v>
      </c>
      <c r="E49" s="20"/>
      <c r="F49" s="20"/>
      <c r="G49" s="20">
        <v>0.14929999999999999</v>
      </c>
      <c r="H49" s="20"/>
      <c r="I49" s="20"/>
      <c r="J49" s="19">
        <v>0.95</v>
      </c>
      <c r="K49" s="19">
        <v>1.26</v>
      </c>
      <c r="L49" s="19">
        <v>2.2599999999999998</v>
      </c>
      <c r="M49" s="19">
        <v>5.52</v>
      </c>
      <c r="N49" s="19">
        <v>3.43</v>
      </c>
      <c r="O49" s="19">
        <v>7.22</v>
      </c>
      <c r="P49" s="19">
        <v>6.97</v>
      </c>
      <c r="Q49" s="19">
        <v>7.09</v>
      </c>
      <c r="R49" s="20">
        <v>0.3871</v>
      </c>
      <c r="S49" s="20">
        <v>0.39269999999999999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0.1066</v>
      </c>
      <c r="C50" s="20"/>
      <c r="D50" s="20">
        <v>5.2436999999999996</v>
      </c>
      <c r="E50" s="20"/>
      <c r="F50" s="20"/>
      <c r="G50" s="20">
        <v>0.1522</v>
      </c>
      <c r="H50" s="20"/>
      <c r="I50" s="20"/>
      <c r="J50" s="19">
        <v>0.93</v>
      </c>
      <c r="K50" s="19">
        <v>1.23</v>
      </c>
      <c r="L50" s="19">
        <v>2.1800000000000002</v>
      </c>
      <c r="M50" s="19">
        <v>5.36</v>
      </c>
      <c r="N50" s="19">
        <v>3.26</v>
      </c>
      <c r="O50" s="19">
        <v>6.81</v>
      </c>
      <c r="P50" s="19">
        <v>6.48</v>
      </c>
      <c r="Q50" s="19">
        <v>6.55</v>
      </c>
      <c r="R50" s="20">
        <v>0.38990000000000002</v>
      </c>
      <c r="S50" s="20">
        <v>0.39629999999999999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12" t="s">
        <v>33</v>
      </c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4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29</v>
      </c>
      <c r="B1" s="9" t="s">
        <v>29</v>
      </c>
      <c r="C1" s="5" t="s">
        <v>18</v>
      </c>
    </row>
    <row r="2" spans="1:3" x14ac:dyDescent="0.3">
      <c r="A2" s="10" t="s">
        <v>37</v>
      </c>
      <c r="B2" s="9" t="s">
        <v>37</v>
      </c>
      <c r="C2" s="5" t="s">
        <v>19</v>
      </c>
    </row>
    <row r="3" spans="1:3" x14ac:dyDescent="0.3">
      <c r="A3" s="10" t="s">
        <v>30</v>
      </c>
      <c r="B3" s="9" t="s">
        <v>30</v>
      </c>
    </row>
    <row r="4" spans="1:3" x14ac:dyDescent="0.3">
      <c r="A4" s="10" t="s">
        <v>31</v>
      </c>
      <c r="B4" s="9" t="s">
        <v>31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Ben_F</vt:lpstr>
      <vt:lpstr>Ben_G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2023-03-28T14:30:22Z</cp:lastPrinted>
  <dcterms:created xsi:type="dcterms:W3CDTF">2019-05-24T15:32:38Z</dcterms:created>
  <dcterms:modified xsi:type="dcterms:W3CDTF">2023-03-28T14:34:54Z</dcterms:modified>
</cp:coreProperties>
</file>